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202300"/>
  <xr:revisionPtr revIDLastSave="0" documentId="13_ncr:1_{8F36EAA2-4AB2-42C2-A229-061EA4F426C7}" xr6:coauthVersionLast="47" xr6:coauthVersionMax="47" xr10:uidLastSave="{00000000-0000-0000-0000-000000000000}"/>
  <bookViews>
    <workbookView xWindow="-120" yWindow="-120" windowWidth="29040" windowHeight="17760" xr2:uid="{5C1D81A8-B863-4556-ADA8-A6CAF1660AD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6" i="1" l="1"/>
  <c r="F55" i="1"/>
  <c r="AE54" i="1"/>
  <c r="AE60" i="1" s="1"/>
  <c r="AE61" i="1" s="1"/>
  <c r="AA48" i="1"/>
  <c r="AA49" i="1" s="1"/>
  <c r="Z48" i="1"/>
  <c r="Z49" i="1" s="1"/>
  <c r="Y48" i="1"/>
  <c r="Y49" i="1" s="1"/>
  <c r="X48" i="1"/>
  <c r="X49" i="1" s="1"/>
  <c r="W48" i="1"/>
  <c r="W49" i="1" s="1"/>
  <c r="V48" i="1"/>
  <c r="V49" i="1" s="1"/>
  <c r="U48" i="1"/>
  <c r="U49" i="1" s="1"/>
  <c r="T48" i="1"/>
  <c r="T49" i="1" s="1"/>
  <c r="T55" i="1" s="1"/>
  <c r="T56" i="1" s="1"/>
  <c r="R48" i="1"/>
  <c r="R49" i="1" s="1"/>
  <c r="M48" i="1"/>
  <c r="M49" i="1" s="1"/>
  <c r="M55" i="1" s="1"/>
  <c r="M56" i="1" s="1"/>
  <c r="M66" i="1" s="1"/>
  <c r="AE44" i="1"/>
  <c r="AE48" i="1" s="1"/>
  <c r="AE49" i="1" s="1"/>
  <c r="AD44" i="1"/>
  <c r="AD54" i="1" s="1"/>
  <c r="AD60" i="1" s="1"/>
  <c r="AD61" i="1" s="1"/>
  <c r="AC44" i="1"/>
  <c r="AB44" i="1"/>
  <c r="AA44" i="1"/>
  <c r="AA54" i="1" s="1"/>
  <c r="AA60" i="1" s="1"/>
  <c r="AA61" i="1" s="1"/>
  <c r="Z44" i="1"/>
  <c r="Z54" i="1" s="1"/>
  <c r="Z60" i="1" s="1"/>
  <c r="Z61" i="1" s="1"/>
  <c r="Y44" i="1"/>
  <c r="Y54" i="1" s="1"/>
  <c r="Y60" i="1" s="1"/>
  <c r="Y61" i="1" s="1"/>
  <c r="X44" i="1"/>
  <c r="X54" i="1" s="1"/>
  <c r="X60" i="1" s="1"/>
  <c r="X61" i="1" s="1"/>
  <c r="W44" i="1"/>
  <c r="W54" i="1" s="1"/>
  <c r="W60" i="1" s="1"/>
  <c r="W61" i="1" s="1"/>
  <c r="V44" i="1"/>
  <c r="V54" i="1" s="1"/>
  <c r="V60" i="1" s="1"/>
  <c r="V61" i="1" s="1"/>
  <c r="U44" i="1"/>
  <c r="U54" i="1" s="1"/>
  <c r="U60" i="1" s="1"/>
  <c r="U61" i="1" s="1"/>
  <c r="T44" i="1"/>
  <c r="T54" i="1" s="1"/>
  <c r="T60" i="1" s="1"/>
  <c r="T61" i="1" s="1"/>
  <c r="S44" i="1"/>
  <c r="S54" i="1" s="1"/>
  <c r="S60" i="1" s="1"/>
  <c r="S61" i="1" s="1"/>
  <c r="R44" i="1"/>
  <c r="R54" i="1" s="1"/>
  <c r="R60" i="1" s="1"/>
  <c r="R61" i="1" s="1"/>
  <c r="Q44" i="1"/>
  <c r="Q48" i="1" s="1"/>
  <c r="Q49" i="1" s="1"/>
  <c r="P44" i="1"/>
  <c r="P48" i="1" s="1"/>
  <c r="P49" i="1" s="1"/>
  <c r="O44" i="1"/>
  <c r="O48" i="1" s="1"/>
  <c r="O49" i="1" s="1"/>
  <c r="N44" i="1"/>
  <c r="N48" i="1" s="1"/>
  <c r="N49" i="1" s="1"/>
  <c r="N55" i="1" s="1"/>
  <c r="M44" i="1"/>
  <c r="M54" i="1" s="1"/>
  <c r="M60" i="1" s="1"/>
  <c r="M61" i="1" s="1"/>
  <c r="L44" i="1"/>
  <c r="L48" i="1" s="1"/>
  <c r="L49" i="1" s="1"/>
  <c r="L55" i="1" s="1"/>
  <c r="L56" i="1" s="1"/>
  <c r="L71" i="1" s="1"/>
  <c r="K44" i="1"/>
  <c r="K54" i="1" s="1"/>
  <c r="K60" i="1" s="1"/>
  <c r="K61" i="1" s="1"/>
  <c r="J44" i="1"/>
  <c r="J54" i="1" s="1"/>
  <c r="J60" i="1" s="1"/>
  <c r="J61" i="1" s="1"/>
  <c r="I44" i="1"/>
  <c r="I54" i="1" s="1"/>
  <c r="I60" i="1" s="1"/>
  <c r="I61" i="1" s="1"/>
  <c r="H44" i="1"/>
  <c r="AF43" i="1"/>
  <c r="AG43" i="1" s="1"/>
  <c r="AE42" i="1"/>
  <c r="AD42" i="1"/>
  <c r="AC42" i="1"/>
  <c r="AB42" i="1"/>
  <c r="AA42" i="1"/>
  <c r="Z42" i="1"/>
  <c r="Y42" i="1"/>
  <c r="X42" i="1"/>
  <c r="W42" i="1"/>
  <c r="V42" i="1"/>
  <c r="U42" i="1"/>
  <c r="T42" i="1"/>
  <c r="S42" i="1"/>
  <c r="R42" i="1"/>
  <c r="Q42" i="1"/>
  <c r="P42" i="1"/>
  <c r="O42" i="1"/>
  <c r="N42" i="1"/>
  <c r="M42" i="1"/>
  <c r="L42" i="1"/>
  <c r="K42" i="1"/>
  <c r="J42" i="1"/>
  <c r="I42" i="1"/>
  <c r="H42" i="1"/>
  <c r="AF41" i="1"/>
  <c r="AG41" i="1" s="1"/>
  <c r="AF40" i="1"/>
  <c r="H35" i="1"/>
  <c r="F23" i="1"/>
  <c r="H29" i="1" s="1"/>
  <c r="AA77" i="1" l="1"/>
  <c r="AA78" i="1" s="1"/>
  <c r="K77" i="1"/>
  <c r="K78" i="1" s="1"/>
  <c r="M77" i="1"/>
  <c r="M78" i="1" s="1"/>
  <c r="AE77" i="1"/>
  <c r="AE78" i="1" s="1"/>
  <c r="H28" i="1"/>
  <c r="J72" i="1" s="1"/>
  <c r="J73" i="1" s="1"/>
  <c r="U77" i="1"/>
  <c r="U78" i="1" s="1"/>
  <c r="P55" i="1"/>
  <c r="P56" i="1" s="1"/>
  <c r="P66" i="1" s="1"/>
  <c r="P50" i="1"/>
  <c r="Q55" i="1"/>
  <c r="Q56" i="1" s="1"/>
  <c r="Q71" i="1" s="1"/>
  <c r="Q50" i="1"/>
  <c r="O55" i="1"/>
  <c r="O56" i="1" s="1"/>
  <c r="O50" i="1"/>
  <c r="S77" i="1"/>
  <c r="S78" i="1" s="1"/>
  <c r="Q54" i="1"/>
  <c r="Q60" i="1" s="1"/>
  <c r="Q61" i="1" s="1"/>
  <c r="W50" i="1"/>
  <c r="AF42" i="1"/>
  <c r="L50" i="1"/>
  <c r="M50" i="1"/>
  <c r="K48" i="1"/>
  <c r="K49" i="1" s="1"/>
  <c r="K55" i="1" s="1"/>
  <c r="K56" i="1" s="1"/>
  <c r="O54" i="1"/>
  <c r="O60" i="1" s="1"/>
  <c r="O61" i="1" s="1"/>
  <c r="P54" i="1"/>
  <c r="P60" i="1" s="1"/>
  <c r="P61" i="1" s="1"/>
  <c r="T50" i="1"/>
  <c r="J48" i="1"/>
  <c r="J49" i="1" s="1"/>
  <c r="J55" i="1" s="1"/>
  <c r="J56" i="1" s="1"/>
  <c r="L54" i="1"/>
  <c r="L60" i="1" s="1"/>
  <c r="L61" i="1" s="1"/>
  <c r="L77" i="1" s="1"/>
  <c r="L78" i="1" s="1"/>
  <c r="N54" i="1"/>
  <c r="N60" i="1" s="1"/>
  <c r="N61" i="1" s="1"/>
  <c r="N77" i="1" s="1"/>
  <c r="N78" i="1" s="1"/>
  <c r="V50" i="1"/>
  <c r="V55" i="1"/>
  <c r="V56" i="1" s="1"/>
  <c r="T77" i="1"/>
  <c r="T78" i="1" s="1"/>
  <c r="X50" i="1"/>
  <c r="X55" i="1"/>
  <c r="X56" i="1" s="1"/>
  <c r="Y50" i="1"/>
  <c r="Y55" i="1"/>
  <c r="Y56" i="1" s="1"/>
  <c r="L66" i="1"/>
  <c r="O66" i="1"/>
  <c r="O71" i="1"/>
  <c r="O76" i="1"/>
  <c r="N66" i="1"/>
  <c r="N71" i="1"/>
  <c r="Z50" i="1"/>
  <c r="Z55" i="1"/>
  <c r="Z56" i="1" s="1"/>
  <c r="AA50" i="1"/>
  <c r="AA55" i="1"/>
  <c r="AA56" i="1" s="1"/>
  <c r="L76" i="1"/>
  <c r="M76" i="1"/>
  <c r="N76" i="1"/>
  <c r="N50" i="1"/>
  <c r="T71" i="1"/>
  <c r="T76" i="1"/>
  <c r="T66" i="1"/>
  <c r="R55" i="1"/>
  <c r="R56" i="1" s="1"/>
  <c r="R50" i="1"/>
  <c r="M71" i="1"/>
  <c r="W55" i="1"/>
  <c r="W56" i="1" s="1"/>
  <c r="U55" i="1"/>
  <c r="U56" i="1" s="1"/>
  <c r="U50" i="1"/>
  <c r="H48" i="1"/>
  <c r="AF44" i="1"/>
  <c r="P76" i="1"/>
  <c r="AC54" i="1"/>
  <c r="AC60" i="1" s="1"/>
  <c r="AC61" i="1" s="1"/>
  <c r="AC77" i="1" s="1"/>
  <c r="AC78" i="1" s="1"/>
  <c r="AC48" i="1"/>
  <c r="AC49" i="1" s="1"/>
  <c r="R77" i="1"/>
  <c r="R78" i="1" s="1"/>
  <c r="AD77" i="1"/>
  <c r="AD78" i="1" s="1"/>
  <c r="Z77" i="1"/>
  <c r="Z78" i="1" s="1"/>
  <c r="Y77" i="1"/>
  <c r="Y78" i="1" s="1"/>
  <c r="X77" i="1"/>
  <c r="X78" i="1" s="1"/>
  <c r="W77" i="1"/>
  <c r="W78" i="1" s="1"/>
  <c r="V77" i="1"/>
  <c r="V78" i="1" s="1"/>
  <c r="H27" i="1"/>
  <c r="H54" i="1"/>
  <c r="I77" i="1"/>
  <c r="I78" i="1" s="1"/>
  <c r="AB54" i="1"/>
  <c r="AB60" i="1" s="1"/>
  <c r="AB61" i="1" s="1"/>
  <c r="AB48" i="1"/>
  <c r="AB49" i="1" s="1"/>
  <c r="P71" i="1"/>
  <c r="AE55" i="1"/>
  <c r="AE56" i="1" s="1"/>
  <c r="AE50" i="1"/>
  <c r="I48" i="1"/>
  <c r="I49" i="1" s="1"/>
  <c r="X72" i="1"/>
  <c r="X73" i="1" s="1"/>
  <c r="W72" i="1"/>
  <c r="W73" i="1" s="1"/>
  <c r="V72" i="1"/>
  <c r="V73" i="1" s="1"/>
  <c r="I72" i="1"/>
  <c r="I73" i="1" s="1"/>
  <c r="J77" i="1"/>
  <c r="J78" i="1" s="1"/>
  <c r="S48" i="1"/>
  <c r="S49" i="1" s="1"/>
  <c r="AD48" i="1"/>
  <c r="AD49" i="1" s="1"/>
  <c r="Y72" i="1" l="1"/>
  <c r="Y73" i="1" s="1"/>
  <c r="N72" i="1"/>
  <c r="N73" i="1" s="1"/>
  <c r="Q72" i="1"/>
  <c r="Q73" i="1" s="1"/>
  <c r="S72" i="1"/>
  <c r="S73" i="1" s="1"/>
  <c r="T72" i="1"/>
  <c r="T73" i="1" s="1"/>
  <c r="Z72" i="1"/>
  <c r="Z73" i="1" s="1"/>
  <c r="AD72" i="1"/>
  <c r="AD73" i="1" s="1"/>
  <c r="O72" i="1"/>
  <c r="O73" i="1" s="1"/>
  <c r="M72" i="1"/>
  <c r="M73" i="1" s="1"/>
  <c r="AA72" i="1"/>
  <c r="AA73" i="1" s="1"/>
  <c r="K72" i="1"/>
  <c r="K73" i="1" s="1"/>
  <c r="U72" i="1"/>
  <c r="U73" i="1" s="1"/>
  <c r="R72" i="1"/>
  <c r="R73" i="1" s="1"/>
  <c r="AE72" i="1"/>
  <c r="AE73" i="1" s="1"/>
  <c r="P72" i="1"/>
  <c r="P73" i="1" s="1"/>
  <c r="Q77" i="1"/>
  <c r="Q78" i="1" s="1"/>
  <c r="O77" i="1"/>
  <c r="O78" i="1" s="1"/>
  <c r="J50" i="1"/>
  <c r="Q66" i="1"/>
  <c r="Q76" i="1"/>
  <c r="P77" i="1"/>
  <c r="P78" i="1" s="1"/>
  <c r="L72" i="1"/>
  <c r="L73" i="1" s="1"/>
  <c r="K50" i="1"/>
  <c r="AA76" i="1"/>
  <c r="AA71" i="1"/>
  <c r="AA66" i="1"/>
  <c r="H49" i="1"/>
  <c r="AF48" i="1"/>
  <c r="Z76" i="1"/>
  <c r="Z71" i="1"/>
  <c r="Z66" i="1"/>
  <c r="AC72" i="1"/>
  <c r="AC73" i="1" s="1"/>
  <c r="Y76" i="1"/>
  <c r="Y71" i="1"/>
  <c r="Y66" i="1"/>
  <c r="I55" i="1"/>
  <c r="I56" i="1" s="1"/>
  <c r="I50" i="1"/>
  <c r="X76" i="1"/>
  <c r="X71" i="1"/>
  <c r="X66" i="1"/>
  <c r="AF54" i="1"/>
  <c r="H60" i="1"/>
  <c r="AD67" i="1"/>
  <c r="AD68" i="1" s="1"/>
  <c r="J67" i="1"/>
  <c r="J68" i="1" s="1"/>
  <c r="AC67" i="1"/>
  <c r="AC68" i="1" s="1"/>
  <c r="I67" i="1"/>
  <c r="I68" i="1" s="1"/>
  <c r="AB67" i="1"/>
  <c r="AB68" i="1" s="1"/>
  <c r="AA67" i="1"/>
  <c r="AA68" i="1" s="1"/>
  <c r="Z67" i="1"/>
  <c r="Z68" i="1" s="1"/>
  <c r="Y67" i="1"/>
  <c r="Y68" i="1" s="1"/>
  <c r="X67" i="1"/>
  <c r="X68" i="1" s="1"/>
  <c r="W67" i="1"/>
  <c r="W68" i="1" s="1"/>
  <c r="V67" i="1"/>
  <c r="V68" i="1" s="1"/>
  <c r="N67" i="1"/>
  <c r="N68" i="1" s="1"/>
  <c r="L67" i="1"/>
  <c r="L68" i="1" s="1"/>
  <c r="K67" i="1"/>
  <c r="K68" i="1" s="1"/>
  <c r="AE67" i="1"/>
  <c r="AE68" i="1" s="1"/>
  <c r="U67" i="1"/>
  <c r="U68" i="1" s="1"/>
  <c r="T67" i="1"/>
  <c r="T68" i="1" s="1"/>
  <c r="S67" i="1"/>
  <c r="S68" i="1" s="1"/>
  <c r="Q67" i="1"/>
  <c r="Q68" i="1" s="1"/>
  <c r="P67" i="1"/>
  <c r="P68" i="1" s="1"/>
  <c r="O67" i="1"/>
  <c r="O68" i="1" s="1"/>
  <c r="M67" i="1"/>
  <c r="M68" i="1" s="1"/>
  <c r="R67" i="1"/>
  <c r="R68" i="1" s="1"/>
  <c r="U76" i="1"/>
  <c r="U66" i="1"/>
  <c r="U71" i="1"/>
  <c r="W76" i="1"/>
  <c r="W66" i="1"/>
  <c r="W71" i="1"/>
  <c r="R71" i="1"/>
  <c r="R76" i="1"/>
  <c r="R66" i="1"/>
  <c r="AE76" i="1"/>
  <c r="AE71" i="1"/>
  <c r="AE66" i="1"/>
  <c r="K71" i="1"/>
  <c r="K76" i="1"/>
  <c r="K66" i="1"/>
  <c r="AD50" i="1"/>
  <c r="AD55" i="1"/>
  <c r="AD56" i="1" s="1"/>
  <c r="AB55" i="1"/>
  <c r="AB56" i="1" s="1"/>
  <c r="AB50" i="1"/>
  <c r="J66" i="1"/>
  <c r="J71" i="1"/>
  <c r="J76" i="1"/>
  <c r="V76" i="1"/>
  <c r="V66" i="1"/>
  <c r="V71" i="1"/>
  <c r="S55" i="1"/>
  <c r="S56" i="1" s="1"/>
  <c r="S50" i="1"/>
  <c r="AB72" i="1"/>
  <c r="AB73" i="1" s="1"/>
  <c r="AB77" i="1"/>
  <c r="AB78" i="1" s="1"/>
  <c r="AC50" i="1"/>
  <c r="AC55" i="1"/>
  <c r="AC56" i="1" s="1"/>
  <c r="I66" i="1" l="1"/>
  <c r="I71" i="1"/>
  <c r="I76" i="1"/>
  <c r="AD66" i="1"/>
  <c r="AD71" i="1"/>
  <c r="AD76" i="1"/>
  <c r="H61" i="1"/>
  <c r="AF60" i="1"/>
  <c r="AC66" i="1"/>
  <c r="AC71" i="1"/>
  <c r="AC76" i="1"/>
  <c r="S71" i="1"/>
  <c r="S76" i="1"/>
  <c r="S66" i="1"/>
  <c r="AF49" i="1"/>
  <c r="H55" i="1"/>
  <c r="H50" i="1"/>
  <c r="AF50" i="1" s="1"/>
  <c r="AB76" i="1"/>
  <c r="AB71" i="1"/>
  <c r="AB66" i="1"/>
  <c r="H56" i="1" l="1"/>
  <c r="AF55" i="1"/>
  <c r="AF61" i="1"/>
  <c r="H77" i="1"/>
  <c r="H72" i="1"/>
  <c r="H67" i="1"/>
  <c r="AF77" i="1" l="1"/>
  <c r="H78" i="1"/>
  <c r="AF78" i="1" s="1"/>
  <c r="H68" i="1"/>
  <c r="AF68" i="1" s="1"/>
  <c r="AF67" i="1"/>
  <c r="H73" i="1"/>
  <c r="AF73" i="1" s="1"/>
  <c r="AF72" i="1"/>
  <c r="H76" i="1"/>
  <c r="AF76" i="1" s="1"/>
  <c r="AG76" i="1" s="1"/>
  <c r="H71" i="1"/>
  <c r="AF71" i="1" s="1"/>
  <c r="AG71" i="1" s="1"/>
  <c r="H66" i="1"/>
  <c r="AF66" i="1" s="1"/>
  <c r="AG66" i="1" s="1"/>
  <c r="AF5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5" authorId="0" shapeId="0" xr:uid="{7EF1DB65-E46E-429B-9A22-C237CF6B65C1}">
      <text>
        <r>
          <rPr>
            <sz val="9"/>
            <color indexed="81"/>
            <rFont val="Tahoma"/>
            <family val="2"/>
          </rPr>
          <t xml:space="preserve">It's unclear what this value should be, but set it at or below the manufacturer's sensor cut-out
</t>
        </r>
      </text>
    </comment>
    <comment ref="E43" authorId="0" shapeId="0" xr:uid="{830CEA69-D996-4BF1-81CD-BF08618A57F1}">
      <text>
        <r>
          <rPr>
            <sz val="9"/>
            <color indexed="81"/>
            <rFont val="Tahoma"/>
            <family val="2"/>
          </rPr>
          <t>Not used in the wet bulb calculation, BUT the formula used is only valid near sea level (typical value 1013.25 hPa (millibars)</t>
        </r>
      </text>
    </comment>
    <comment ref="E44" authorId="0" shapeId="0" xr:uid="{59E9E9B7-21ED-4EBF-B499-2D6FDBE82639}">
      <text>
        <r>
          <rPr>
            <sz val="9"/>
            <color indexed="81"/>
            <rFont val="Tahoma"/>
            <family val="2"/>
          </rPr>
          <t xml:space="preserve">Results verified at https://www.omnicalculator.com/physics/wet-bulb
Based on (corrected) formula at https://www.freemathhelp.com/forum/threads/wet-bulb-formula-order-of-operation.131604/ (Stull Formula)
The original research paper (https://doi.org/10.1175/JAMC-D-11-0143.1) mentioned in the above says:
"An equation is presented for wet-bulb temperature as a function of air temperature and relative humidity at standard sea level pressure. It was found as an empirical fit using gene-expression programming. This equation is valid for relative humidities between 5% and 99% and for air temperatures between −20° and 50°C, except for situations having both low humidity and cold temperature. Over the valid range, errors in wet-bulb temperature range from −1° to +0.65°C, with mean absolute error of less than 0.3°C."
Pressure was not used as one of the predictor variables, and hence the resulting regression does not vary with pressure. Also, because the regression equation is only a statistical fit and is not based on physical principles, one cannot assume that it would be valid at other pressures. As an alternative, the reader can use GEP to create new regressions based on Tw, T, and RH% data for any other pressure of interest. Given the quasi-random nature of evolution, it is unlikely that the resulting equations would look like Eq. (1). Namely, both the functional form and the numerical coefficients would likely be considerably different. </t>
        </r>
      </text>
    </comment>
    <comment ref="E48" authorId="0" shapeId="0" xr:uid="{C1B8C6AA-6576-4AFC-9624-98097DD24B80}">
      <text>
        <r>
          <rPr>
            <sz val="9"/>
            <color indexed="81"/>
            <rFont val="Tahoma"/>
            <family val="2"/>
          </rPr>
          <t xml:space="preserve">August-Roche-Magnus formula
Checked output at:
https://www.omnicalculator.com/physics/absolute-humidity
and
https://www.engineeringtoolbox.com/water-vapor-saturation-pressure-d_599.html
</t>
        </r>
      </text>
    </comment>
    <comment ref="E49" authorId="0" shapeId="0" xr:uid="{8DCEC7F4-B89A-42C9-865F-732B63D1CC77}">
      <text>
        <r>
          <rPr>
            <sz val="9"/>
            <color indexed="81"/>
            <rFont val="Tahoma"/>
            <family val="2"/>
          </rPr>
          <t>Formula: https://www.hatchability.com/Vaisala.pdf page 12
Checked output at:
https://www.omnicalculator.com/physics/absolute-humidity</t>
        </r>
      </text>
    </comment>
    <comment ref="E54" authorId="0" shapeId="0" xr:uid="{16ED9C05-3190-4D7B-81E0-B8847136D4FC}">
      <text>
        <r>
          <rPr>
            <sz val="9"/>
            <color indexed="81"/>
            <rFont val="Tahoma"/>
            <family val="2"/>
          </rPr>
          <t>For simplicity it is assumed that temperature &amp; RH follow a linear relationship between the wet &amp; dry bulb temperatures. This may not be the case.</t>
        </r>
      </text>
    </comment>
    <comment ref="E60" authorId="0" shapeId="0" xr:uid="{7E4A8D50-506B-4E92-8E15-68BEACA00EB2}">
      <text>
        <r>
          <rPr>
            <sz val="9"/>
            <color indexed="81"/>
            <rFont val="Tahoma"/>
            <family val="2"/>
          </rPr>
          <t>Take value from the MVHR's PassivHaus certificate, if possible.
Otherwise deduct 13 from the manufacturer's claimed figure.</t>
        </r>
      </text>
    </comment>
  </commentList>
</comments>
</file>

<file path=xl/sharedStrings.xml><?xml version="1.0" encoding="utf-8"?>
<sst xmlns="http://schemas.openxmlformats.org/spreadsheetml/2006/main" count="98" uniqueCount="70">
  <si>
    <t>Attempt to model the performance of an MVHR evaporative cooler during a 24 hour period</t>
  </si>
  <si>
    <t>Notes</t>
  </si>
  <si>
    <t>Generally</t>
  </si>
  <si>
    <t>The MVHR cooler is installed on the main MVHR extract, before the MVHR unit</t>
  </si>
  <si>
    <t>The coolth from the  cooler is transferred to the supply air via the MVHR heat exchanger</t>
  </si>
  <si>
    <t>This spreadsheet may contain bugs &amp; errors</t>
  </si>
  <si>
    <t>The 'potential internal temperatures' have not been tested against real data</t>
  </si>
  <si>
    <t>Data entry</t>
  </si>
  <si>
    <t>Yellow cell background = data input cell</t>
  </si>
  <si>
    <t>No cells are protected - take care</t>
  </si>
  <si>
    <t>Data results</t>
  </si>
  <si>
    <t>Blue text = calculated value</t>
  </si>
  <si>
    <t>Red text = calculated value with warning</t>
  </si>
  <si>
    <t>Building volume</t>
  </si>
  <si>
    <t>Measured volume of the building</t>
  </si>
  <si>
    <t>m³</t>
  </si>
  <si>
    <t>Fabric air leakage</t>
  </si>
  <si>
    <t>ach</t>
  </si>
  <si>
    <t>Volume of building + air lost through leakage</t>
  </si>
  <si>
    <t>MVHR speed settings</t>
  </si>
  <si>
    <t>Low fan speed air flow rate</t>
  </si>
  <si>
    <t>m³/hr</t>
  </si>
  <si>
    <t>of the building volume + fabric air loss volume</t>
  </si>
  <si>
    <t>Mid fan speed airflow rate</t>
  </si>
  <si>
    <t>High (boost) fan speed airflow rate</t>
  </si>
  <si>
    <t>Evaporative cooler details</t>
  </si>
  <si>
    <t>Manufacturer's maximum water flow rate</t>
  </si>
  <si>
    <t>L/hr</t>
  </si>
  <si>
    <t>Manufacturer's humidity sensor cutout</t>
  </si>
  <si>
    <t>RH</t>
  </si>
  <si>
    <t xml:space="preserve"> (for info &amp; to verify the line below)</t>
  </si>
  <si>
    <t>Humidifying limit to used in these calculations (see note)</t>
  </si>
  <si>
    <t>Weather forecast for day to be modelled</t>
  </si>
  <si>
    <t>Max</t>
  </si>
  <si>
    <t>Notes &amp; warnings</t>
  </si>
  <si>
    <t>Date being modelled</t>
  </si>
  <si>
    <t>Average temperature external</t>
  </si>
  <si>
    <t>°C</t>
  </si>
  <si>
    <t>Relative humidity external</t>
  </si>
  <si>
    <t>%</t>
  </si>
  <si>
    <t>Absolute humidity (water in air) at this °C &amp; RH</t>
  </si>
  <si>
    <t>g/m³</t>
  </si>
  <si>
    <t>Air pressure (only used as a check; see important comment)</t>
  </si>
  <si>
    <t>hPa</t>
  </si>
  <si>
    <t>Approximate wet bulb temp (see important comment)</t>
  </si>
  <si>
    <t>5</t>
  </si>
  <si>
    <t>Theoretical: water to evaporate to reach 100% RH</t>
  </si>
  <si>
    <t>Saturation vapor pressure @ wet bulb temperature</t>
  </si>
  <si>
    <t>Pa</t>
  </si>
  <si>
    <t>Absolute humidity @ wet bulb temperature (100% RH)</t>
  </si>
  <si>
    <t>Water to evaporate to achieve 100% RH</t>
  </si>
  <si>
    <t>Evaporative Cooler performance</t>
  </si>
  <si>
    <t>Approximate extract air temp after cooling (see note)</t>
  </si>
  <si>
    <t>Absolute humidity @ the cooler's humidifying limit</t>
  </si>
  <si>
    <t>Water to add to achieve the cooler's humidifying limit</t>
  </si>
  <si>
    <t>MVHR supply air temperature</t>
  </si>
  <si>
    <t>Approx air supply temp (°C) based on coolth recovery rate of:</t>
  </si>
  <si>
    <t>Approx air supply temp after a distribution loss of, say</t>
  </si>
  <si>
    <t>Temperature of air within the building</t>
  </si>
  <si>
    <t>MVHR low fan speed</t>
  </si>
  <si>
    <t>Water evaporated</t>
  </si>
  <si>
    <t>L/h</t>
  </si>
  <si>
    <t>Potential building air temperature</t>
  </si>
  <si>
    <t>Potential temperature reduction (see warning below)</t>
  </si>
  <si>
    <t>MVHR mid fan speed</t>
  </si>
  <si>
    <t>MVHR high (boost) fan speed</t>
  </si>
  <si>
    <t>WARNINGS</t>
  </si>
  <si>
    <t>Actual air temperatures will be lower than these figures suggest as sources of warming aren't considered (the sun, people, etc.)</t>
  </si>
  <si>
    <t>Water flow will need to be somewhat (20% ?) higher than the 'water evaporated' (to compensate for inefficiencies &amp; minimise mineral deposition in the humidifier)</t>
  </si>
  <si>
    <t>Time of 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</si>
</sst>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ed][&gt;1]0%;[&lt;=1]0%"/>
    <numFmt numFmtId="165" formatCode="0.000"/>
    <numFmt numFmtId="166" formatCode="0.0000"/>
  </numFmts>
  <fonts count="21" x14ac:knownFonts="1">
    <font>
      <sz val="11"/>
      <color theme="1"/>
      <name val="Aptos Narrow"/>
      <family val="2"/>
      <scheme val="minor"/>
    </font>
    <font>
      <sz val="11"/>
      <color theme="1"/>
      <name val="Aptos Narrow"/>
      <family val="2"/>
      <scheme val="minor"/>
    </font>
    <font>
      <b/>
      <sz val="11"/>
      <color rgb="FF000000"/>
      <name val="Aptos"/>
      <family val="2"/>
    </font>
    <font>
      <sz val="11"/>
      <color theme="1"/>
      <name val="Aptos Narrow"/>
      <family val="2"/>
    </font>
    <font>
      <b/>
      <sz val="16"/>
      <color rgb="FF000000"/>
      <name val="Aptos"/>
      <family val="2"/>
    </font>
    <font>
      <b/>
      <sz val="11"/>
      <color rgb="FF000000"/>
      <name val="Aptos Narrow"/>
      <family val="2"/>
    </font>
    <font>
      <b/>
      <sz val="12"/>
      <color rgb="FF000000"/>
      <name val="Aptos Narrow"/>
      <family val="2"/>
    </font>
    <font>
      <sz val="11"/>
      <color rgb="FF000000"/>
      <name val="Aptos"/>
      <family val="2"/>
    </font>
    <font>
      <sz val="11"/>
      <color rgb="FF000000"/>
      <name val="Arial Narrow"/>
      <family val="2"/>
    </font>
    <font>
      <sz val="11"/>
      <name val="Arial Narrow"/>
      <family val="2"/>
    </font>
    <font>
      <sz val="11"/>
      <color rgb="FF00B0F0"/>
      <name val="Aptos Narrow"/>
      <family val="2"/>
    </font>
    <font>
      <sz val="11"/>
      <color rgb="FF000000"/>
      <name val="Aptos Narrow"/>
      <family val="2"/>
    </font>
    <font>
      <sz val="12"/>
      <color rgb="FF00B0F0"/>
      <name val="Aptos Narrow"/>
      <family val="2"/>
    </font>
    <font>
      <sz val="12"/>
      <color rgb="FF000000"/>
      <name val="Aptos Narrow"/>
      <family val="2"/>
    </font>
    <font>
      <sz val="11"/>
      <name val="Aptos Narrow"/>
      <family val="2"/>
    </font>
    <font>
      <b/>
      <sz val="11"/>
      <color rgb="FF000000"/>
      <name val="Arial Narrow"/>
      <family val="2"/>
    </font>
    <font>
      <b/>
      <sz val="11"/>
      <color rgb="FF00B0F0"/>
      <name val="Aptos Narrow"/>
      <family val="2"/>
    </font>
    <font>
      <b/>
      <sz val="11"/>
      <color rgb="FFFF0000"/>
      <name val="Arial Narrow"/>
      <family val="2"/>
    </font>
    <font>
      <sz val="11"/>
      <color rgb="FF00B0F0"/>
      <name val="Arial Narrow"/>
      <family val="2"/>
    </font>
    <font>
      <sz val="11"/>
      <color rgb="FFBE5014"/>
      <name val="Liberation Sans"/>
      <family val="2"/>
    </font>
    <font>
      <sz val="9"/>
      <color indexed="81"/>
      <name val="Tahoma"/>
      <family val="2"/>
    </font>
  </fonts>
  <fills count="6">
    <fill>
      <patternFill patternType="none"/>
    </fill>
    <fill>
      <patternFill patternType="gray125"/>
    </fill>
    <fill>
      <patternFill patternType="solid">
        <fgColor rgb="FFFFFF00"/>
        <bgColor rgb="FF000000"/>
      </patternFill>
    </fill>
    <fill>
      <patternFill patternType="solid">
        <fgColor rgb="FFEEF5FC"/>
        <bgColor rgb="FF000000"/>
      </patternFill>
    </fill>
    <fill>
      <patternFill patternType="solid">
        <fgColor rgb="FFFFEFEB"/>
        <bgColor rgb="FF000000"/>
      </patternFill>
    </fill>
    <fill>
      <patternFill patternType="solid">
        <fgColor rgb="FFFFFF00"/>
        <bgColor indexed="64"/>
      </patternFill>
    </fill>
  </fills>
  <borders count="12">
    <border>
      <left/>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95">
    <xf numFmtId="0" fontId="0" fillId="0" borderId="0" xfId="0"/>
    <xf numFmtId="49" fontId="2" fillId="0" borderId="0" xfId="0" applyNumberFormat="1" applyFont="1"/>
    <xf numFmtId="0" fontId="2" fillId="0" borderId="0" xfId="0" applyFont="1"/>
    <xf numFmtId="0" fontId="3" fillId="0" borderId="0" xfId="0" applyFont="1"/>
    <xf numFmtId="0" fontId="3" fillId="0" borderId="0" xfId="0" applyFont="1" applyAlignment="1">
      <alignment horizontal="center"/>
    </xf>
    <xf numFmtId="49" fontId="4" fillId="0" borderId="0" xfId="0" applyNumberFormat="1" applyFont="1"/>
    <xf numFmtId="49" fontId="5" fillId="0" borderId="0" xfId="0" applyNumberFormat="1" applyFont="1"/>
    <xf numFmtId="0" fontId="6" fillId="0" borderId="0" xfId="0" applyFont="1"/>
    <xf numFmtId="0" fontId="6" fillId="0" borderId="0" xfId="0" applyFont="1" applyAlignment="1">
      <alignment horizontal="center"/>
    </xf>
    <xf numFmtId="0" fontId="2" fillId="0" borderId="1" xfId="0" applyFont="1" applyBorder="1"/>
    <xf numFmtId="0" fontId="7" fillId="0" borderId="0" xfId="0" applyFont="1"/>
    <xf numFmtId="0" fontId="8" fillId="0" borderId="0" xfId="0" applyFont="1"/>
    <xf numFmtId="0" fontId="3" fillId="2" borderId="0" xfId="0" applyFont="1" applyFill="1"/>
    <xf numFmtId="0" fontId="9" fillId="0" borderId="0" xfId="0" applyFont="1"/>
    <xf numFmtId="0" fontId="10" fillId="0" borderId="0" xfId="0" applyFont="1"/>
    <xf numFmtId="1" fontId="3" fillId="2" borderId="0" xfId="0" applyNumberFormat="1" applyFont="1" applyFill="1"/>
    <xf numFmtId="164" fontId="12" fillId="0" borderId="0" xfId="1" applyNumberFormat="1" applyFont="1" applyFill="1" applyBorder="1" applyAlignment="1">
      <alignment horizontal="center"/>
    </xf>
    <xf numFmtId="0" fontId="13" fillId="0" borderId="0" xfId="0" applyFont="1"/>
    <xf numFmtId="2" fontId="3" fillId="0" borderId="0" xfId="0" applyNumberFormat="1" applyFont="1"/>
    <xf numFmtId="2" fontId="14" fillId="2" borderId="0" xfId="0" applyNumberFormat="1" applyFont="1" applyFill="1"/>
    <xf numFmtId="9" fontId="3" fillId="2" borderId="0" xfId="0" applyNumberFormat="1" applyFont="1" applyFill="1"/>
    <xf numFmtId="164" fontId="12" fillId="0" borderId="0" xfId="1" applyNumberFormat="1" applyFont="1" applyFill="1" applyBorder="1" applyAlignment="1">
      <alignment horizontal="left"/>
    </xf>
    <xf numFmtId="0" fontId="5" fillId="0" borderId="0" xfId="0" applyFont="1"/>
    <xf numFmtId="20" fontId="5" fillId="0" borderId="5" xfId="0" applyNumberFormat="1" applyFont="1" applyBorder="1" applyAlignment="1">
      <alignment horizontal="center"/>
    </xf>
    <xf numFmtId="20" fontId="5" fillId="0" borderId="1" xfId="0" applyNumberFormat="1" applyFont="1" applyBorder="1"/>
    <xf numFmtId="20" fontId="5" fillId="0" borderId="6" xfId="0" applyNumberFormat="1" applyFont="1" applyBorder="1"/>
    <xf numFmtId="0" fontId="3" fillId="0" borderId="7" xfId="0" applyFont="1" applyBorder="1"/>
    <xf numFmtId="0" fontId="8" fillId="0" borderId="0" xfId="0" applyFont="1" applyAlignment="1">
      <alignment horizontal="center"/>
    </xf>
    <xf numFmtId="0" fontId="3" fillId="2" borderId="7" xfId="0" applyFont="1" applyFill="1" applyBorder="1"/>
    <xf numFmtId="9" fontId="11" fillId="2" borderId="7" xfId="1" applyFont="1" applyFill="1" applyBorder="1"/>
    <xf numFmtId="0" fontId="8" fillId="3" borderId="0" xfId="0" applyFont="1" applyFill="1" applyAlignment="1">
      <alignment horizontal="center"/>
    </xf>
    <xf numFmtId="165" fontId="10" fillId="3" borderId="1" xfId="0" applyNumberFormat="1" applyFont="1" applyFill="1" applyBorder="1"/>
    <xf numFmtId="165" fontId="10" fillId="3" borderId="0" xfId="0" applyNumberFormat="1" applyFont="1" applyFill="1"/>
    <xf numFmtId="165" fontId="10" fillId="3" borderId="6" xfId="0" applyNumberFormat="1" applyFont="1" applyFill="1" applyBorder="1"/>
    <xf numFmtId="165" fontId="10" fillId="3" borderId="7" xfId="0" applyNumberFormat="1" applyFont="1" applyFill="1" applyBorder="1"/>
    <xf numFmtId="0" fontId="9" fillId="0" borderId="0" xfId="0" applyFont="1" applyAlignment="1">
      <alignment horizontal="center"/>
    </xf>
    <xf numFmtId="0" fontId="15" fillId="0" borderId="0" xfId="0" applyFont="1"/>
    <xf numFmtId="0" fontId="8" fillId="4" borderId="0" xfId="0" applyFont="1" applyFill="1" applyAlignment="1">
      <alignment horizontal="center"/>
    </xf>
    <xf numFmtId="2" fontId="16" fillId="4" borderId="1" xfId="0" applyNumberFormat="1" applyFont="1" applyFill="1" applyBorder="1"/>
    <xf numFmtId="2" fontId="16" fillId="4" borderId="0" xfId="0" applyNumberFormat="1" applyFont="1" applyFill="1"/>
    <xf numFmtId="2" fontId="16" fillId="4" borderId="6" xfId="0" applyNumberFormat="1" applyFont="1" applyFill="1" applyBorder="1"/>
    <xf numFmtId="2" fontId="16" fillId="4" borderId="7" xfId="0" applyNumberFormat="1" applyFont="1" applyFill="1" applyBorder="1"/>
    <xf numFmtId="2" fontId="10" fillId="0" borderId="1" xfId="0" applyNumberFormat="1" applyFont="1" applyBorder="1"/>
    <xf numFmtId="2" fontId="10" fillId="0" borderId="0" xfId="0" applyNumberFormat="1" applyFont="1"/>
    <xf numFmtId="2" fontId="10" fillId="0" borderId="6" xfId="0" applyNumberFormat="1" applyFont="1" applyBorder="1"/>
    <xf numFmtId="2" fontId="10" fillId="0" borderId="7" xfId="0" applyNumberFormat="1" applyFont="1" applyBorder="1"/>
    <xf numFmtId="0" fontId="17" fillId="0" borderId="0" xfId="0" applyFont="1" applyAlignment="1">
      <alignment horizontal="center"/>
    </xf>
    <xf numFmtId="1" fontId="10" fillId="0" borderId="1" xfId="0" applyNumberFormat="1" applyFont="1" applyBorder="1" applyAlignment="1">
      <alignment horizontal="right"/>
    </xf>
    <xf numFmtId="1" fontId="10" fillId="0" borderId="0" xfId="0" applyNumberFormat="1" applyFont="1" applyAlignment="1">
      <alignment horizontal="right"/>
    </xf>
    <xf numFmtId="1" fontId="10" fillId="0" borderId="6" xfId="0" applyNumberFormat="1" applyFont="1" applyBorder="1" applyAlignment="1">
      <alignment horizontal="right"/>
    </xf>
    <xf numFmtId="1" fontId="10" fillId="0" borderId="7" xfId="0" applyNumberFormat="1" applyFont="1" applyBorder="1"/>
    <xf numFmtId="165" fontId="16" fillId="3" borderId="1" xfId="0" applyNumberFormat="1" applyFont="1" applyFill="1" applyBorder="1"/>
    <xf numFmtId="165" fontId="16" fillId="3" borderId="0" xfId="0" applyNumberFormat="1" applyFont="1" applyFill="1"/>
    <xf numFmtId="165" fontId="16" fillId="3" borderId="6" xfId="0" applyNumberFormat="1" applyFont="1" applyFill="1" applyBorder="1"/>
    <xf numFmtId="165" fontId="16" fillId="3" borderId="7" xfId="0" applyNumberFormat="1" applyFont="1" applyFill="1" applyBorder="1"/>
    <xf numFmtId="0" fontId="5" fillId="0" borderId="0" xfId="0" applyFont="1" applyAlignment="1">
      <alignment horizontal="center"/>
    </xf>
    <xf numFmtId="0" fontId="3" fillId="0" borderId="1" xfId="0" applyFont="1" applyBorder="1"/>
    <xf numFmtId="0" fontId="3" fillId="0" borderId="6" xfId="0" applyFont="1" applyBorder="1"/>
    <xf numFmtId="2" fontId="10" fillId="4" borderId="1" xfId="0" applyNumberFormat="1" applyFont="1" applyFill="1" applyBorder="1"/>
    <xf numFmtId="2" fontId="10" fillId="4" borderId="0" xfId="0" applyNumberFormat="1" applyFont="1" applyFill="1"/>
    <xf numFmtId="2" fontId="10" fillId="4" borderId="6" xfId="0" applyNumberFormat="1" applyFont="1" applyFill="1" applyBorder="1"/>
    <xf numFmtId="2" fontId="10" fillId="4" borderId="7" xfId="0" applyNumberFormat="1" applyFont="1" applyFill="1" applyBorder="1"/>
    <xf numFmtId="0" fontId="18" fillId="0" borderId="0" xfId="0" applyFont="1" applyAlignment="1">
      <alignment horizontal="left"/>
    </xf>
    <xf numFmtId="0" fontId="15" fillId="0" borderId="0" xfId="0" applyFont="1" applyAlignment="1">
      <alignment horizontal="center"/>
    </xf>
    <xf numFmtId="0" fontId="3" fillId="0" borderId="0" xfId="0" quotePrefix="1" applyFont="1"/>
    <xf numFmtId="9" fontId="8" fillId="2" borderId="0" xfId="0" applyNumberFormat="1" applyFont="1" applyFill="1"/>
    <xf numFmtId="9" fontId="3" fillId="0" borderId="0" xfId="0" applyNumberFormat="1" applyFont="1"/>
    <xf numFmtId="0" fontId="5" fillId="0" borderId="8" xfId="0" applyFont="1" applyBorder="1"/>
    <xf numFmtId="0" fontId="5" fillId="0" borderId="9" xfId="0" applyFont="1" applyBorder="1"/>
    <xf numFmtId="0" fontId="8" fillId="4" borderId="9" xfId="0" applyFont="1" applyFill="1" applyBorder="1" applyAlignment="1">
      <alignment horizontal="center"/>
    </xf>
    <xf numFmtId="2" fontId="16" fillId="4" borderId="8" xfId="0" applyNumberFormat="1" applyFont="1" applyFill="1" applyBorder="1"/>
    <xf numFmtId="2" fontId="16" fillId="4" borderId="9" xfId="0" applyNumberFormat="1" applyFont="1" applyFill="1" applyBorder="1"/>
    <xf numFmtId="2" fontId="16" fillId="4" borderId="10" xfId="0" applyNumberFormat="1" applyFont="1" applyFill="1" applyBorder="1"/>
    <xf numFmtId="2" fontId="16" fillId="4" borderId="11" xfId="0" applyNumberFormat="1" applyFont="1" applyFill="1" applyBorder="1"/>
    <xf numFmtId="166" fontId="3" fillId="0" borderId="1" xfId="0" applyNumberFormat="1" applyFont="1" applyBorder="1"/>
    <xf numFmtId="166" fontId="3" fillId="0" borderId="0" xfId="0" applyNumberFormat="1" applyFont="1"/>
    <xf numFmtId="166" fontId="3" fillId="0" borderId="6" xfId="0" applyNumberFormat="1" applyFont="1" applyBorder="1"/>
    <xf numFmtId="0" fontId="14" fillId="0" borderId="0" xfId="0" applyFont="1"/>
    <xf numFmtId="9" fontId="3" fillId="0" borderId="0" xfId="1" applyFont="1" applyFill="1" applyBorder="1"/>
    <xf numFmtId="0" fontId="19" fillId="0" borderId="0" xfId="0" applyFont="1"/>
    <xf numFmtId="0" fontId="19" fillId="0" borderId="0" xfId="0" applyFont="1" applyAlignment="1">
      <alignment horizontal="center"/>
    </xf>
    <xf numFmtId="20" fontId="5" fillId="0" borderId="0" xfId="0" applyNumberFormat="1" applyFont="1" applyBorder="1"/>
    <xf numFmtId="0" fontId="0" fillId="5" borderId="1" xfId="0" applyFill="1" applyBorder="1"/>
    <xf numFmtId="0" fontId="0" fillId="5" borderId="0" xfId="0" applyFill="1" applyBorder="1"/>
    <xf numFmtId="0" fontId="0" fillId="5" borderId="6" xfId="0" applyFill="1" applyBorder="1"/>
    <xf numFmtId="9" fontId="0" fillId="5" borderId="1" xfId="1" applyFont="1" applyFill="1" applyBorder="1"/>
    <xf numFmtId="9" fontId="0" fillId="5" borderId="0" xfId="1" applyFont="1" applyFill="1" applyBorder="1"/>
    <xf numFmtId="9" fontId="0" fillId="5" borderId="6" xfId="1" applyFont="1" applyFill="1" applyBorder="1"/>
    <xf numFmtId="165" fontId="10" fillId="3" borderId="0" xfId="0" applyNumberFormat="1" applyFont="1" applyFill="1" applyBorder="1"/>
    <xf numFmtId="2" fontId="16" fillId="4" borderId="0" xfId="0" applyNumberFormat="1" applyFont="1" applyFill="1" applyBorder="1"/>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20" fontId="5" fillId="0" borderId="1" xfId="0" applyNumberFormat="1" applyFont="1" applyBorder="1" applyAlignment="1">
      <alignment horizontal="center" wrapText="1"/>
    </xf>
    <xf numFmtId="14" fontId="5" fillId="2" borderId="0" xfId="0" applyNumberFormat="1" applyFont="1"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 Id="rId4"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r>
              <a:rPr lang="en-US" b="1"/>
              <a:t>External temperature &amp; potential internal temperatures for the day chosen</a:t>
            </a:r>
          </a:p>
        </c:rich>
      </c:tx>
      <c:layout>
        <c:manualLayout>
          <c:xMode val="edge"/>
          <c:yMode val="edge"/>
          <c:x val="0.25124392362858677"/>
          <c:y val="2.9896585797019377E-2"/>
        </c:manualLayout>
      </c:layout>
      <c:overlay val="0"/>
      <c:spPr>
        <a:no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2"/>
          <c:order val="0"/>
          <c:tx>
            <c:v>Potential building air temperature (MVHR low)</c:v>
          </c:tx>
          <c:spPr>
            <a:ln w="28575" cap="rnd">
              <a:solidFill>
                <a:schemeClr val="accent2">
                  <a:lumMod val="75000"/>
                </a:schemeClr>
              </a:solidFill>
              <a:prstDash val="sysDot"/>
              <a:round/>
            </a:ln>
            <a:effectLst/>
          </c:spPr>
          <c:marker>
            <c:symbol val="circle"/>
            <c:size val="5"/>
            <c:spPr>
              <a:solidFill>
                <a:schemeClr val="accent2">
                  <a:lumMod val="40000"/>
                  <a:lumOff val="60000"/>
                </a:schemeClr>
              </a:solidFill>
              <a:ln w="9525">
                <a:solidFill>
                  <a:schemeClr val="accent2">
                    <a:lumMod val="75000"/>
                  </a:schemeClr>
                </a:solidFill>
              </a:ln>
              <a:effectLst/>
            </c:spPr>
          </c:marker>
          <c:cat>
            <c:numRef>
              <c:f>Sheet1!$H$39:$AE$39</c:f>
              <c:numCache>
                <c:formatCode>h:mm</c:formatCode>
                <c:ptCount val="24"/>
                <c:pt idx="0">
                  <c:v>0</c:v>
                </c:pt>
                <c:pt idx="1">
                  <c:v>4.1666666666666664E-2</c:v>
                </c:pt>
                <c:pt idx="2">
                  <c:v>8.3333333333333301E-2</c:v>
                </c:pt>
                <c:pt idx="3">
                  <c:v>0.125</c:v>
                </c:pt>
                <c:pt idx="4">
                  <c:v>0.16666666666666699</c:v>
                </c:pt>
                <c:pt idx="5">
                  <c:v>0.20833333333333301</c:v>
                </c:pt>
                <c:pt idx="6">
                  <c:v>0.25</c:v>
                </c:pt>
                <c:pt idx="7">
                  <c:v>0.29166666666666702</c:v>
                </c:pt>
                <c:pt idx="8">
                  <c:v>0.33333333333333298</c:v>
                </c:pt>
                <c:pt idx="9">
                  <c:v>0.375</c:v>
                </c:pt>
                <c:pt idx="10">
                  <c:v>0.41666666666666702</c:v>
                </c:pt>
                <c:pt idx="11">
                  <c:v>0.45833333333333298</c:v>
                </c:pt>
                <c:pt idx="12">
                  <c:v>0.5</c:v>
                </c:pt>
                <c:pt idx="13">
                  <c:v>0.54166666666666696</c:v>
                </c:pt>
                <c:pt idx="14">
                  <c:v>0.58333333333333304</c:v>
                </c:pt>
                <c:pt idx="15">
                  <c:v>0.625</c:v>
                </c:pt>
                <c:pt idx="16">
                  <c:v>0.66666666666666696</c:v>
                </c:pt>
                <c:pt idx="17">
                  <c:v>0.70833333333333304</c:v>
                </c:pt>
                <c:pt idx="18">
                  <c:v>0.75</c:v>
                </c:pt>
                <c:pt idx="19">
                  <c:v>0.79166666666666696</c:v>
                </c:pt>
                <c:pt idx="20">
                  <c:v>0.83333333333333404</c:v>
                </c:pt>
                <c:pt idx="21">
                  <c:v>0.875</c:v>
                </c:pt>
                <c:pt idx="22">
                  <c:v>0.91666666666666696</c:v>
                </c:pt>
                <c:pt idx="23">
                  <c:v>0.95833333333333404</c:v>
                </c:pt>
              </c:numCache>
            </c:numRef>
          </c:cat>
          <c:val>
            <c:numLit>
              <c:formatCode>General</c:formatCode>
              <c:ptCount val="24"/>
              <c:pt idx="0">
                <c:v>24.873275722793625</c:v>
              </c:pt>
              <c:pt idx="1">
                <c:v>23.975144034135855</c:v>
              </c:pt>
              <c:pt idx="2">
                <c:v>23.046111308773657</c:v>
              </c:pt>
              <c:pt idx="3">
                <c:v>22.163957057996662</c:v>
              </c:pt>
              <c:pt idx="4">
                <c:v>21.299694445560426</c:v>
              </c:pt>
              <c:pt idx="5">
                <c:v>20.382079201544393</c:v>
              </c:pt>
              <c:pt idx="6">
                <c:v>20.405320051739483</c:v>
              </c:pt>
              <c:pt idx="7">
                <c:v>22.287267251114027</c:v>
              </c:pt>
              <c:pt idx="8">
                <c:v>23.123160980253672</c:v>
              </c:pt>
              <c:pt idx="9">
                <c:v>24.983385474073717</c:v>
              </c:pt>
              <c:pt idx="10">
                <c:v>25.823574389612322</c:v>
              </c:pt>
              <c:pt idx="11">
                <c:v>27.595372532527527</c:v>
              </c:pt>
              <c:pt idx="12">
                <c:v>29.338777839810291</c:v>
              </c:pt>
              <c:pt idx="13">
                <c:v>30.160423873561903</c:v>
              </c:pt>
              <c:pt idx="14">
                <c:v>31.007285118112755</c:v>
              </c:pt>
              <c:pt idx="15">
                <c:v>31.842851973289775</c:v>
              </c:pt>
              <c:pt idx="16">
                <c:v>32.757169890012428</c:v>
              </c:pt>
              <c:pt idx="17">
                <c:v>32.665625022221711</c:v>
              </c:pt>
              <c:pt idx="18">
                <c:v>32.618627064450436</c:v>
              </c:pt>
              <c:pt idx="19">
                <c:v>32.711792026607768</c:v>
              </c:pt>
              <c:pt idx="20">
                <c:v>30.92565065418453</c:v>
              </c:pt>
              <c:pt idx="21">
                <c:v>29.267881377289182</c:v>
              </c:pt>
              <c:pt idx="22">
                <c:v>27.563744901735788</c:v>
              </c:pt>
              <c:pt idx="23">
                <c:v>25.765811333743812</c:v>
              </c:pt>
            </c:numLit>
          </c:val>
          <c:smooth val="0"/>
          <c:extLst>
            <c:ext xmlns:c16="http://schemas.microsoft.com/office/drawing/2014/chart" uri="{C3380CC4-5D6E-409C-BE32-E72D297353CC}">
              <c16:uniqueId val="{00000000-645C-42B6-B190-7949FD6D782E}"/>
            </c:ext>
          </c:extLst>
        </c:ser>
        <c:ser>
          <c:idx val="3"/>
          <c:order val="1"/>
          <c:tx>
            <c:v>Potential building air temperature (MVHR med)</c:v>
          </c:tx>
          <c:spPr>
            <a:ln w="28575" cap="rnd">
              <a:solidFill>
                <a:schemeClr val="accent2">
                  <a:lumMod val="60000"/>
                  <a:lumOff val="40000"/>
                </a:schemeClr>
              </a:solidFill>
              <a:prstDash val="sysDash"/>
              <a:round/>
            </a:ln>
            <a:effectLst/>
          </c:spPr>
          <c:marker>
            <c:symbol val="circle"/>
            <c:size val="5"/>
            <c:spPr>
              <a:solidFill>
                <a:schemeClr val="accent2">
                  <a:lumMod val="60000"/>
                  <a:lumOff val="40000"/>
                </a:schemeClr>
              </a:solidFill>
              <a:ln w="9525">
                <a:solidFill>
                  <a:schemeClr val="accent2">
                    <a:lumMod val="60000"/>
                    <a:lumOff val="40000"/>
                  </a:schemeClr>
                </a:solidFill>
              </a:ln>
              <a:effectLst/>
            </c:spPr>
          </c:marker>
          <c:cat>
            <c:numRef>
              <c:f>Sheet1!$H$39:$AE$39</c:f>
              <c:numCache>
                <c:formatCode>h:mm</c:formatCode>
                <c:ptCount val="24"/>
                <c:pt idx="0">
                  <c:v>0</c:v>
                </c:pt>
                <c:pt idx="1">
                  <c:v>4.1666666666666664E-2</c:v>
                </c:pt>
                <c:pt idx="2">
                  <c:v>8.3333333333333301E-2</c:v>
                </c:pt>
                <c:pt idx="3">
                  <c:v>0.125</c:v>
                </c:pt>
                <c:pt idx="4">
                  <c:v>0.16666666666666699</c:v>
                </c:pt>
                <c:pt idx="5">
                  <c:v>0.20833333333333301</c:v>
                </c:pt>
                <c:pt idx="6">
                  <c:v>0.25</c:v>
                </c:pt>
                <c:pt idx="7">
                  <c:v>0.29166666666666702</c:v>
                </c:pt>
                <c:pt idx="8">
                  <c:v>0.33333333333333298</c:v>
                </c:pt>
                <c:pt idx="9">
                  <c:v>0.375</c:v>
                </c:pt>
                <c:pt idx="10">
                  <c:v>0.41666666666666702</c:v>
                </c:pt>
                <c:pt idx="11">
                  <c:v>0.45833333333333298</c:v>
                </c:pt>
                <c:pt idx="12">
                  <c:v>0.5</c:v>
                </c:pt>
                <c:pt idx="13">
                  <c:v>0.54166666666666696</c:v>
                </c:pt>
                <c:pt idx="14">
                  <c:v>0.58333333333333304</c:v>
                </c:pt>
                <c:pt idx="15">
                  <c:v>0.625</c:v>
                </c:pt>
                <c:pt idx="16">
                  <c:v>0.66666666666666696</c:v>
                </c:pt>
                <c:pt idx="17">
                  <c:v>0.70833333333333304</c:v>
                </c:pt>
                <c:pt idx="18">
                  <c:v>0.75</c:v>
                </c:pt>
                <c:pt idx="19">
                  <c:v>0.79166666666666696</c:v>
                </c:pt>
                <c:pt idx="20">
                  <c:v>0.83333333333333404</c:v>
                </c:pt>
                <c:pt idx="21">
                  <c:v>0.875</c:v>
                </c:pt>
                <c:pt idx="22">
                  <c:v>0.91666666666666696</c:v>
                </c:pt>
                <c:pt idx="23">
                  <c:v>0.95833333333333404</c:v>
                </c:pt>
              </c:numCache>
            </c:numRef>
          </c:cat>
          <c:val>
            <c:numLit>
              <c:formatCode>General</c:formatCode>
              <c:ptCount val="24"/>
              <c:pt idx="0">
                <c:v>23.996934618299772</c:v>
              </c:pt>
              <c:pt idx="1">
                <c:v>23.17803383846374</c:v>
              </c:pt>
              <c:pt idx="2">
                <c:v>22.304197882264276</c:v>
              </c:pt>
              <c:pt idx="3">
                <c:v>21.51370143643851</c:v>
              </c:pt>
              <c:pt idx="4">
                <c:v>20.755012347662976</c:v>
              </c:pt>
              <c:pt idx="5">
                <c:v>19.901474136078917</c:v>
              </c:pt>
              <c:pt idx="6">
                <c:v>19.942791203092412</c:v>
              </c:pt>
              <c:pt idx="7">
                <c:v>21.73291955753605</c:v>
              </c:pt>
              <c:pt idx="8">
                <c:v>22.441175076006527</c:v>
              </c:pt>
              <c:pt idx="9">
                <c:v>24.192685287242156</c:v>
              </c:pt>
              <c:pt idx="10">
                <c:v>24.908576692644118</c:v>
              </c:pt>
              <c:pt idx="11">
                <c:v>26.502884502271158</c:v>
              </c:pt>
              <c:pt idx="12">
                <c:v>28.046716159662736</c:v>
              </c:pt>
              <c:pt idx="13">
                <c:v>28.729642441887826</c:v>
              </c:pt>
              <c:pt idx="14">
                <c:v>29.457395765533782</c:v>
              </c:pt>
              <c:pt idx="15">
                <c:v>30.165070174737373</c:v>
              </c:pt>
              <c:pt idx="16">
                <c:v>31.012746471133202</c:v>
              </c:pt>
              <c:pt idx="17">
                <c:v>30.850000039505254</c:v>
              </c:pt>
              <c:pt idx="18">
                <c:v>30.766448114578552</c:v>
              </c:pt>
              <c:pt idx="19">
                <c:v>30.932074713969364</c:v>
              </c:pt>
              <c:pt idx="20">
                <c:v>29.312267829661383</c:v>
              </c:pt>
              <c:pt idx="21">
                <c:v>27.920678004069654</c:v>
              </c:pt>
              <c:pt idx="22">
                <c:v>26.446657603085846</c:v>
              </c:pt>
              <c:pt idx="23">
                <c:v>24.80588681554455</c:v>
              </c:pt>
            </c:numLit>
          </c:val>
          <c:smooth val="0"/>
          <c:extLst>
            <c:ext xmlns:c16="http://schemas.microsoft.com/office/drawing/2014/chart" uri="{C3380CC4-5D6E-409C-BE32-E72D297353CC}">
              <c16:uniqueId val="{00000001-645C-42B6-B190-7949FD6D782E}"/>
            </c:ext>
          </c:extLst>
        </c:ser>
        <c:ser>
          <c:idx val="4"/>
          <c:order val="2"/>
          <c:tx>
            <c:v>Potential building air temperature (MVHR high)</c:v>
          </c:tx>
          <c:spPr>
            <a:ln w="28575" cap="rnd">
              <a:solidFill>
                <a:schemeClr val="accent2">
                  <a:lumMod val="40000"/>
                  <a:lumOff val="60000"/>
                </a:schemeClr>
              </a:solidFill>
              <a:round/>
            </a:ln>
            <a:effectLst/>
          </c:spPr>
          <c:marker>
            <c:symbol val="circle"/>
            <c:size val="5"/>
            <c:spPr>
              <a:solidFill>
                <a:schemeClr val="accent2">
                  <a:lumMod val="40000"/>
                  <a:lumOff val="60000"/>
                </a:schemeClr>
              </a:solidFill>
              <a:ln w="9525">
                <a:solidFill>
                  <a:schemeClr val="accent2">
                    <a:lumMod val="40000"/>
                    <a:lumOff val="60000"/>
                  </a:schemeClr>
                </a:solidFill>
              </a:ln>
              <a:effectLst/>
            </c:spPr>
          </c:marker>
          <c:cat>
            <c:numRef>
              <c:f>Sheet1!$H$39:$AE$39</c:f>
              <c:numCache>
                <c:formatCode>h:mm</c:formatCode>
                <c:ptCount val="24"/>
                <c:pt idx="0">
                  <c:v>0</c:v>
                </c:pt>
                <c:pt idx="1">
                  <c:v>4.1666666666666664E-2</c:v>
                </c:pt>
                <c:pt idx="2">
                  <c:v>8.3333333333333301E-2</c:v>
                </c:pt>
                <c:pt idx="3">
                  <c:v>0.125</c:v>
                </c:pt>
                <c:pt idx="4">
                  <c:v>0.16666666666666699</c:v>
                </c:pt>
                <c:pt idx="5">
                  <c:v>0.20833333333333301</c:v>
                </c:pt>
                <c:pt idx="6">
                  <c:v>0.25</c:v>
                </c:pt>
                <c:pt idx="7">
                  <c:v>0.29166666666666702</c:v>
                </c:pt>
                <c:pt idx="8">
                  <c:v>0.33333333333333298</c:v>
                </c:pt>
                <c:pt idx="9">
                  <c:v>0.375</c:v>
                </c:pt>
                <c:pt idx="10">
                  <c:v>0.41666666666666702</c:v>
                </c:pt>
                <c:pt idx="11">
                  <c:v>0.45833333333333298</c:v>
                </c:pt>
                <c:pt idx="12">
                  <c:v>0.5</c:v>
                </c:pt>
                <c:pt idx="13">
                  <c:v>0.54166666666666696</c:v>
                </c:pt>
                <c:pt idx="14">
                  <c:v>0.58333333333333304</c:v>
                </c:pt>
                <c:pt idx="15">
                  <c:v>0.625</c:v>
                </c:pt>
                <c:pt idx="16">
                  <c:v>0.66666666666666696</c:v>
                </c:pt>
                <c:pt idx="17">
                  <c:v>0.70833333333333304</c:v>
                </c:pt>
                <c:pt idx="18">
                  <c:v>0.75</c:v>
                </c:pt>
                <c:pt idx="19">
                  <c:v>0.79166666666666696</c:v>
                </c:pt>
                <c:pt idx="20">
                  <c:v>0.83333333333333404</c:v>
                </c:pt>
                <c:pt idx="21">
                  <c:v>0.875</c:v>
                </c:pt>
                <c:pt idx="22">
                  <c:v>0.91666666666666696</c:v>
                </c:pt>
                <c:pt idx="23">
                  <c:v>0.95833333333333404</c:v>
                </c:pt>
              </c:numCache>
            </c:numRef>
          </c:cat>
          <c:val>
            <c:numLit>
              <c:formatCode>General</c:formatCode>
              <c:ptCount val="24"/>
              <c:pt idx="0">
                <c:v>22.369443995668338</c:v>
              </c:pt>
              <c:pt idx="1">
                <c:v>21.697686332215529</c:v>
              </c:pt>
              <c:pt idx="2">
                <c:v>20.926358661604002</c:v>
              </c:pt>
              <c:pt idx="3">
                <c:v>20.306083853544799</c:v>
              </c:pt>
              <c:pt idx="4">
                <c:v>19.743459880139149</c:v>
              </c:pt>
              <c:pt idx="5">
                <c:v>19.008921871643043</c:v>
              </c:pt>
              <c:pt idx="6">
                <c:v>19.083809055604995</c:v>
              </c:pt>
              <c:pt idx="7">
                <c:v>20.703416698034086</c:v>
              </c:pt>
              <c:pt idx="8">
                <c:v>21.174629825261828</c:v>
              </c:pt>
              <c:pt idx="9">
                <c:v>22.724242083126413</c:v>
              </c:pt>
              <c:pt idx="10">
                <c:v>23.209295255417469</c:v>
              </c:pt>
              <c:pt idx="11">
                <c:v>24.473978160366471</c:v>
              </c:pt>
              <c:pt idx="12">
                <c:v>25.647173039388704</c:v>
              </c:pt>
              <c:pt idx="13">
                <c:v>26.072476925921681</c:v>
              </c:pt>
              <c:pt idx="14">
                <c:v>26.579029825029977</c:v>
              </c:pt>
              <c:pt idx="15">
                <c:v>27.04918969171149</c:v>
              </c:pt>
              <c:pt idx="16">
                <c:v>27.773102978928929</c:v>
              </c:pt>
              <c:pt idx="17">
                <c:v>27.47812507160328</c:v>
              </c:pt>
              <c:pt idx="18">
                <c:v>27.326687207673629</c:v>
              </c:pt>
              <c:pt idx="19">
                <c:v>27.62688541906947</c:v>
              </c:pt>
              <c:pt idx="20">
                <c:v>26.315985441261258</c:v>
              </c:pt>
              <c:pt idx="21">
                <c:v>25.418728882376247</c:v>
              </c:pt>
              <c:pt idx="22">
                <c:v>24.372066905593094</c:v>
              </c:pt>
              <c:pt idx="23">
                <c:v>23.023169853174497</c:v>
              </c:pt>
            </c:numLit>
          </c:val>
          <c:smooth val="0"/>
          <c:extLst>
            <c:ext xmlns:c16="http://schemas.microsoft.com/office/drawing/2014/chart" uri="{C3380CC4-5D6E-409C-BE32-E72D297353CC}">
              <c16:uniqueId val="{00000002-645C-42B6-B190-7949FD6D782E}"/>
            </c:ext>
          </c:extLst>
        </c:ser>
        <c:ser>
          <c:idx val="0"/>
          <c:order val="3"/>
          <c:tx>
            <c:v>External temperature (°C)</c:v>
          </c:tx>
          <c:spPr>
            <a:ln w="28575" cap="rnd">
              <a:solidFill>
                <a:srgbClr val="FF0000"/>
              </a:solidFill>
              <a:round/>
            </a:ln>
            <a:effectLst/>
          </c:spPr>
          <c:marker>
            <c:symbol val="circle"/>
            <c:size val="5"/>
            <c:spPr>
              <a:solidFill>
                <a:srgbClr val="FF0000"/>
              </a:solidFill>
              <a:ln w="9525">
                <a:solidFill>
                  <a:srgbClr val="FF0000"/>
                </a:solidFill>
              </a:ln>
              <a:effectLst/>
            </c:spPr>
          </c:marker>
          <c:cat>
            <c:numRef>
              <c:f>Sheet1!$H$39:$AE$39</c:f>
              <c:numCache>
                <c:formatCode>h:mm</c:formatCode>
                <c:ptCount val="24"/>
                <c:pt idx="0">
                  <c:v>0</c:v>
                </c:pt>
                <c:pt idx="1">
                  <c:v>4.1666666666666664E-2</c:v>
                </c:pt>
                <c:pt idx="2">
                  <c:v>8.3333333333333301E-2</c:v>
                </c:pt>
                <c:pt idx="3">
                  <c:v>0.125</c:v>
                </c:pt>
                <c:pt idx="4">
                  <c:v>0.16666666666666699</c:v>
                </c:pt>
                <c:pt idx="5">
                  <c:v>0.20833333333333301</c:v>
                </c:pt>
                <c:pt idx="6">
                  <c:v>0.25</c:v>
                </c:pt>
                <c:pt idx="7">
                  <c:v>0.29166666666666702</c:v>
                </c:pt>
                <c:pt idx="8">
                  <c:v>0.33333333333333298</c:v>
                </c:pt>
                <c:pt idx="9">
                  <c:v>0.375</c:v>
                </c:pt>
                <c:pt idx="10">
                  <c:v>0.41666666666666702</c:v>
                </c:pt>
                <c:pt idx="11">
                  <c:v>0.45833333333333298</c:v>
                </c:pt>
                <c:pt idx="12">
                  <c:v>0.5</c:v>
                </c:pt>
                <c:pt idx="13">
                  <c:v>0.54166666666666696</c:v>
                </c:pt>
                <c:pt idx="14">
                  <c:v>0.58333333333333304</c:v>
                </c:pt>
                <c:pt idx="15">
                  <c:v>0.625</c:v>
                </c:pt>
                <c:pt idx="16">
                  <c:v>0.66666666666666696</c:v>
                </c:pt>
                <c:pt idx="17">
                  <c:v>0.70833333333333304</c:v>
                </c:pt>
                <c:pt idx="18">
                  <c:v>0.75</c:v>
                </c:pt>
                <c:pt idx="19">
                  <c:v>0.79166666666666696</c:v>
                </c:pt>
                <c:pt idx="20">
                  <c:v>0.83333333333333404</c:v>
                </c:pt>
                <c:pt idx="21">
                  <c:v>0.875</c:v>
                </c:pt>
                <c:pt idx="22">
                  <c:v>0.91666666666666696</c:v>
                </c:pt>
                <c:pt idx="23">
                  <c:v>0.95833333333333404</c:v>
                </c:pt>
              </c:numCache>
            </c:numRef>
          </c:cat>
          <c:val>
            <c:numLit>
              <c:formatCode>General</c:formatCode>
              <c:ptCount val="24"/>
              <c:pt idx="0">
                <c:v>26</c:v>
              </c:pt>
              <c:pt idx="1">
                <c:v>25</c:v>
              </c:pt>
              <c:pt idx="2">
                <c:v>24</c:v>
              </c:pt>
              <c:pt idx="3">
                <c:v>23</c:v>
              </c:pt>
              <c:pt idx="4">
                <c:v>22</c:v>
              </c:pt>
              <c:pt idx="5">
                <c:v>21</c:v>
              </c:pt>
              <c:pt idx="6">
                <c:v>21</c:v>
              </c:pt>
              <c:pt idx="7">
                <c:v>23</c:v>
              </c:pt>
              <c:pt idx="8">
                <c:v>24</c:v>
              </c:pt>
              <c:pt idx="9">
                <c:v>26</c:v>
              </c:pt>
              <c:pt idx="10">
                <c:v>27</c:v>
              </c:pt>
              <c:pt idx="11">
                <c:v>29</c:v>
              </c:pt>
              <c:pt idx="12">
                <c:v>31</c:v>
              </c:pt>
              <c:pt idx="13">
                <c:v>32</c:v>
              </c:pt>
              <c:pt idx="14">
                <c:v>33</c:v>
              </c:pt>
              <c:pt idx="15">
                <c:v>34</c:v>
              </c:pt>
              <c:pt idx="16">
                <c:v>35</c:v>
              </c:pt>
              <c:pt idx="17">
                <c:v>35</c:v>
              </c:pt>
              <c:pt idx="18">
                <c:v>35</c:v>
              </c:pt>
              <c:pt idx="19">
                <c:v>35</c:v>
              </c:pt>
              <c:pt idx="20">
                <c:v>33</c:v>
              </c:pt>
              <c:pt idx="21">
                <c:v>31</c:v>
              </c:pt>
              <c:pt idx="22">
                <c:v>29</c:v>
              </c:pt>
              <c:pt idx="23">
                <c:v>27</c:v>
              </c:pt>
            </c:numLit>
          </c:val>
          <c:smooth val="0"/>
          <c:extLst>
            <c:ext xmlns:c16="http://schemas.microsoft.com/office/drawing/2014/chart" uri="{C3380CC4-5D6E-409C-BE32-E72D297353CC}">
              <c16:uniqueId val="{00000003-645C-42B6-B190-7949FD6D782E}"/>
            </c:ext>
          </c:extLst>
        </c:ser>
        <c:dLbls>
          <c:showLegendKey val="0"/>
          <c:showVal val="0"/>
          <c:showCatName val="0"/>
          <c:showSerName val="0"/>
          <c:showPercent val="0"/>
          <c:showBubbleSize val="0"/>
        </c:dLbls>
        <c:marker val="1"/>
        <c:smooth val="0"/>
        <c:axId val="995465519"/>
        <c:axId val="995460719"/>
      </c:lineChart>
      <c:lineChart>
        <c:grouping val="standard"/>
        <c:varyColors val="0"/>
        <c:ser>
          <c:idx val="1"/>
          <c:order val="4"/>
          <c:tx>
            <c:v>External relative humidity (%)</c:v>
          </c:tx>
          <c:spPr>
            <a:ln w="28575" cap="rnd">
              <a:solidFill>
                <a:schemeClr val="tx2">
                  <a:lumMod val="10000"/>
                  <a:lumOff val="90000"/>
                </a:schemeClr>
              </a:solidFill>
              <a:round/>
            </a:ln>
            <a:effectLst/>
          </c:spPr>
          <c:marker>
            <c:symbol val="circle"/>
            <c:size val="5"/>
            <c:spPr>
              <a:solidFill>
                <a:schemeClr val="tx2">
                  <a:lumMod val="10000"/>
                  <a:lumOff val="90000"/>
                </a:schemeClr>
              </a:solidFill>
              <a:ln w="9525">
                <a:solidFill>
                  <a:schemeClr val="tx2">
                    <a:lumMod val="10000"/>
                    <a:lumOff val="90000"/>
                  </a:schemeClr>
                </a:solidFill>
              </a:ln>
              <a:effectLst/>
            </c:spPr>
          </c:marker>
          <c:cat>
            <c:numLit>
              <c:formatCode>General</c:formatCode>
              <c:ptCount val="24"/>
              <c:pt idx="0">
                <c:v>0</c:v>
              </c:pt>
              <c:pt idx="1">
                <c:v>4.1666666666666664E-2</c:v>
              </c:pt>
              <c:pt idx="2">
                <c:v>8.3333333333333301E-2</c:v>
              </c:pt>
              <c:pt idx="3">
                <c:v>0.125</c:v>
              </c:pt>
              <c:pt idx="4">
                <c:v>0.16666666666666699</c:v>
              </c:pt>
              <c:pt idx="5">
                <c:v>0.20833333333333301</c:v>
              </c:pt>
              <c:pt idx="6">
                <c:v>0.25</c:v>
              </c:pt>
              <c:pt idx="7">
                <c:v>0.29166666666666702</c:v>
              </c:pt>
              <c:pt idx="8">
                <c:v>0.33333333333333298</c:v>
              </c:pt>
              <c:pt idx="9">
                <c:v>0.375</c:v>
              </c:pt>
              <c:pt idx="10">
                <c:v>0.41666666666666702</c:v>
              </c:pt>
              <c:pt idx="11">
                <c:v>0.45833333333333298</c:v>
              </c:pt>
              <c:pt idx="12">
                <c:v>0.5</c:v>
              </c:pt>
              <c:pt idx="13">
                <c:v>0.54166666666666696</c:v>
              </c:pt>
              <c:pt idx="14">
                <c:v>0.58333333333333304</c:v>
              </c:pt>
              <c:pt idx="15">
                <c:v>0.625</c:v>
              </c:pt>
              <c:pt idx="16">
                <c:v>0.66666666666666696</c:v>
              </c:pt>
              <c:pt idx="17">
                <c:v>0.70833333333333304</c:v>
              </c:pt>
              <c:pt idx="18">
                <c:v>0.75</c:v>
              </c:pt>
              <c:pt idx="19">
                <c:v>0.79166666666666696</c:v>
              </c:pt>
              <c:pt idx="20">
                <c:v>0.83333333333333404</c:v>
              </c:pt>
              <c:pt idx="21">
                <c:v>0.875</c:v>
              </c:pt>
              <c:pt idx="22">
                <c:v>0.91666666666666696</c:v>
              </c:pt>
              <c:pt idx="23">
                <c:v>0.95833333333333404</c:v>
              </c:pt>
            </c:numLit>
          </c:cat>
          <c:val>
            <c:numRef>
              <c:f>Sheet1!$H$41:$AE$41</c:f>
              <c:numCache>
                <c:formatCode>0%</c:formatCode>
                <c:ptCount val="24"/>
                <c:pt idx="0">
                  <c:v>0.56000000000000005</c:v>
                </c:pt>
                <c:pt idx="1">
                  <c:v>0.59</c:v>
                </c:pt>
                <c:pt idx="2">
                  <c:v>0.61</c:v>
                </c:pt>
                <c:pt idx="3">
                  <c:v>0.65</c:v>
                </c:pt>
                <c:pt idx="4">
                  <c:v>0.7</c:v>
                </c:pt>
                <c:pt idx="5">
                  <c:v>0.73</c:v>
                </c:pt>
                <c:pt idx="6">
                  <c:v>0.74</c:v>
                </c:pt>
                <c:pt idx="7">
                  <c:v>0.7</c:v>
                </c:pt>
                <c:pt idx="8">
                  <c:v>0.64</c:v>
                </c:pt>
                <c:pt idx="9">
                  <c:v>0.6</c:v>
                </c:pt>
                <c:pt idx="10">
                  <c:v>0.55000000000000004</c:v>
                </c:pt>
                <c:pt idx="11">
                  <c:v>0.49</c:v>
                </c:pt>
                <c:pt idx="12">
                  <c:v>0.43</c:v>
                </c:pt>
                <c:pt idx="13">
                  <c:v>0.39</c:v>
                </c:pt>
                <c:pt idx="14">
                  <c:v>0.36</c:v>
                </c:pt>
                <c:pt idx="15">
                  <c:v>0.33</c:v>
                </c:pt>
                <c:pt idx="16">
                  <c:v>0.31</c:v>
                </c:pt>
                <c:pt idx="17">
                  <c:v>0.28999999999999998</c:v>
                </c:pt>
                <c:pt idx="18">
                  <c:v>0.28999999999999998</c:v>
                </c:pt>
                <c:pt idx="19">
                  <c:v>0.31</c:v>
                </c:pt>
                <c:pt idx="20">
                  <c:v>0.34</c:v>
                </c:pt>
                <c:pt idx="21">
                  <c:v>0.41</c:v>
                </c:pt>
                <c:pt idx="22">
                  <c:v>0.48</c:v>
                </c:pt>
                <c:pt idx="23">
                  <c:v>0.53</c:v>
                </c:pt>
              </c:numCache>
            </c:numRef>
          </c:val>
          <c:smooth val="0"/>
          <c:extLst>
            <c:ext xmlns:c16="http://schemas.microsoft.com/office/drawing/2014/chart" uri="{C3380CC4-5D6E-409C-BE32-E72D297353CC}">
              <c16:uniqueId val="{00000004-645C-42B6-B190-7949FD6D782E}"/>
            </c:ext>
          </c:extLst>
        </c:ser>
        <c:dLbls>
          <c:showLegendKey val="0"/>
          <c:showVal val="0"/>
          <c:showCatName val="0"/>
          <c:showSerName val="0"/>
          <c:showPercent val="0"/>
          <c:showBubbleSize val="0"/>
        </c:dLbls>
        <c:marker val="1"/>
        <c:smooth val="0"/>
        <c:axId val="1002068047"/>
        <c:axId val="1002089167"/>
      </c:lineChart>
      <c:catAx>
        <c:axId val="99546551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Time of day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h:mm"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5460719"/>
        <c:crossesAt val="0"/>
        <c:auto val="1"/>
        <c:lblAlgn val="ctr"/>
        <c:lblOffset val="100"/>
        <c:noMultiLvlLbl val="0"/>
      </c:catAx>
      <c:valAx>
        <c:axId val="9954607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Temperature (°C)</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5465519"/>
        <c:crosses val="autoZero"/>
        <c:crossBetween val="between"/>
      </c:valAx>
      <c:valAx>
        <c:axId val="1002089167"/>
        <c:scaling>
          <c:orientation val="minMax"/>
          <c:max val="1"/>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Relative Humidity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2068047"/>
        <c:crosses val="max"/>
        <c:crossBetween val="between"/>
      </c:valAx>
      <c:catAx>
        <c:axId val="1002068047"/>
        <c:scaling>
          <c:orientation val="minMax"/>
        </c:scaling>
        <c:delete val="1"/>
        <c:axPos val="b"/>
        <c:numFmt formatCode="General" sourceLinked="1"/>
        <c:majorTickMark val="out"/>
        <c:minorTickMark val="none"/>
        <c:tickLblPos val="nextTo"/>
        <c:crossAx val="100208916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userShapes r:id="rId4"/>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11207</xdr:colOff>
      <xdr:row>3</xdr:row>
      <xdr:rowOff>22413</xdr:rowOff>
    </xdr:from>
    <xdr:to>
      <xdr:col>30</xdr:col>
      <xdr:colOff>459443</xdr:colOff>
      <xdr:row>25</xdr:row>
      <xdr:rowOff>0</xdr:rowOff>
    </xdr:to>
    <xdr:graphicFrame macro="">
      <xdr:nvGraphicFramePr>
        <xdr:cNvPr id="2" name="Chart 1">
          <a:extLst>
            <a:ext uri="{FF2B5EF4-FFF2-40B4-BE49-F238E27FC236}">
              <a16:creationId xmlns:a16="http://schemas.microsoft.com/office/drawing/2014/main" id="{D41EDEAE-EE5F-44D6-9818-F3D91545C2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0.1875</cdr:x>
      <cdr:y>0.02252</cdr:y>
    </cdr:from>
    <cdr:to>
      <cdr:x>0.58789</cdr:x>
      <cdr:y>0.08333</cdr:y>
    </cdr:to>
    <cdr:sp macro="" textlink="">
      <cdr:nvSpPr>
        <cdr:cNvPr id="2" name="TextBox 1">
          <a:extLst xmlns:a="http://schemas.openxmlformats.org/drawingml/2006/main">
            <a:ext uri="{FF2B5EF4-FFF2-40B4-BE49-F238E27FC236}">
              <a16:creationId xmlns:a16="http://schemas.microsoft.com/office/drawing/2014/main" id="{2AA2CC72-10C7-60FD-0EC0-0EEF515EAA71}"/>
            </a:ext>
          </a:extLst>
        </cdr:cNvPr>
        <cdr:cNvSpPr txBox="1"/>
      </cdr:nvSpPr>
      <cdr:spPr>
        <a:xfrm xmlns:a="http://schemas.openxmlformats.org/drawingml/2006/main">
          <a:off x="1828800" y="95250"/>
          <a:ext cx="39052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a:p>
      </cdr:txBody>
    </cdr:sp>
  </cdr:relSizeAnchor>
  <cdr:relSizeAnchor xmlns:cdr="http://schemas.openxmlformats.org/drawingml/2006/chartDrawing">
    <cdr:from>
      <cdr:x>0.18457</cdr:x>
      <cdr:y>0.04505</cdr:y>
    </cdr:from>
    <cdr:to>
      <cdr:x>0.53223</cdr:x>
      <cdr:y>0.08784</cdr:y>
    </cdr:to>
    <cdr:sp macro="" textlink="">
      <cdr:nvSpPr>
        <cdr:cNvPr id="3" name="TextBox 2">
          <a:extLst xmlns:a="http://schemas.openxmlformats.org/drawingml/2006/main">
            <a:ext uri="{FF2B5EF4-FFF2-40B4-BE49-F238E27FC236}">
              <a16:creationId xmlns:a16="http://schemas.microsoft.com/office/drawing/2014/main" id="{1C26BB28-501E-9375-CA2A-8430E1402093}"/>
            </a:ext>
          </a:extLst>
        </cdr:cNvPr>
        <cdr:cNvSpPr txBox="1"/>
      </cdr:nvSpPr>
      <cdr:spPr>
        <a:xfrm xmlns:a="http://schemas.openxmlformats.org/drawingml/2006/main">
          <a:off x="1800225" y="190500"/>
          <a:ext cx="3390900" cy="1809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E7EDD-6A2C-419E-8F86-96D1F96D6446}">
  <dimension ref="B1:AG96"/>
  <sheetViews>
    <sheetView tabSelected="1" zoomScale="85" zoomScaleNormal="85" workbookViewId="0">
      <selection activeCell="E63" sqref="E63"/>
    </sheetView>
  </sheetViews>
  <sheetFormatPr defaultRowHeight="15" x14ac:dyDescent="0.25"/>
  <cols>
    <col min="1" max="1" width="3.28515625" style="3" customWidth="1"/>
    <col min="2" max="2" width="3.28515625" style="6" customWidth="1"/>
    <col min="3" max="4" width="3.28515625" style="2" customWidth="1"/>
    <col min="5" max="5" width="50.7109375" style="3" customWidth="1"/>
    <col min="6" max="6" width="8.7109375" style="3" customWidth="1"/>
    <col min="7" max="7" width="7" style="4" customWidth="1"/>
    <col min="8" max="32" width="7" style="3" customWidth="1"/>
    <col min="33" max="16384" width="9.140625" style="3"/>
  </cols>
  <sheetData>
    <row r="1" spans="2:14" x14ac:dyDescent="0.25">
      <c r="B1" s="1"/>
    </row>
    <row r="2" spans="2:14" ht="21" x14ac:dyDescent="0.35">
      <c r="B2" s="5" t="s">
        <v>0</v>
      </c>
    </row>
    <row r="3" spans="2:14" ht="15.75" x14ac:dyDescent="0.25">
      <c r="E3" s="7"/>
      <c r="F3" s="7"/>
      <c r="G3" s="8"/>
      <c r="H3" s="7"/>
      <c r="I3" s="7"/>
      <c r="J3" s="7"/>
      <c r="K3" s="7"/>
      <c r="L3" s="7"/>
      <c r="M3" s="7"/>
      <c r="N3" s="7"/>
    </row>
    <row r="4" spans="2:14" ht="15.75" x14ac:dyDescent="0.25">
      <c r="C4" s="9" t="s">
        <v>1</v>
      </c>
      <c r="E4" s="7"/>
      <c r="F4" s="7"/>
      <c r="G4" s="8"/>
      <c r="H4" s="7"/>
      <c r="I4" s="7"/>
      <c r="J4" s="7"/>
      <c r="K4" s="7"/>
      <c r="L4" s="7"/>
      <c r="M4" s="7"/>
      <c r="N4" s="7"/>
    </row>
    <row r="5" spans="2:14" ht="15.75" x14ac:dyDescent="0.25">
      <c r="C5" s="9"/>
      <c r="D5" s="2" t="s">
        <v>2</v>
      </c>
      <c r="E5" s="7"/>
      <c r="F5" s="7"/>
      <c r="G5" s="8"/>
      <c r="H5" s="7"/>
      <c r="I5" s="7"/>
      <c r="J5" s="7"/>
      <c r="K5" s="7"/>
      <c r="L5" s="7"/>
      <c r="M5" s="7"/>
      <c r="N5" s="7"/>
    </row>
    <row r="6" spans="2:14" ht="15.75" x14ac:dyDescent="0.25">
      <c r="C6" s="9"/>
      <c r="E6" s="10" t="s">
        <v>3</v>
      </c>
      <c r="F6" s="7"/>
      <c r="G6" s="8"/>
      <c r="H6" s="7"/>
      <c r="I6" s="7"/>
      <c r="J6" s="7"/>
      <c r="K6" s="7"/>
      <c r="L6" s="7"/>
      <c r="M6" s="7"/>
      <c r="N6" s="7"/>
    </row>
    <row r="7" spans="2:14" ht="15.75" x14ac:dyDescent="0.25">
      <c r="C7" s="9"/>
      <c r="E7" s="10" t="s">
        <v>4</v>
      </c>
      <c r="F7" s="7"/>
      <c r="G7" s="8"/>
      <c r="H7" s="7"/>
      <c r="I7" s="7"/>
      <c r="J7" s="7"/>
      <c r="K7" s="7"/>
      <c r="L7" s="7"/>
      <c r="M7" s="7"/>
      <c r="N7" s="7"/>
    </row>
    <row r="8" spans="2:14" ht="15.75" x14ac:dyDescent="0.25">
      <c r="C8" s="9"/>
      <c r="E8" s="10" t="s">
        <v>5</v>
      </c>
      <c r="F8" s="7"/>
      <c r="G8" s="8"/>
      <c r="H8" s="7"/>
      <c r="I8" s="7"/>
      <c r="J8" s="7"/>
      <c r="K8" s="7"/>
      <c r="L8" s="7"/>
      <c r="M8" s="7"/>
      <c r="N8" s="7"/>
    </row>
    <row r="9" spans="2:14" ht="15.75" x14ac:dyDescent="0.25">
      <c r="C9" s="9"/>
      <c r="E9" s="10" t="s">
        <v>6</v>
      </c>
      <c r="F9" s="7"/>
      <c r="G9" s="8"/>
      <c r="H9" s="7"/>
      <c r="I9" s="7"/>
      <c r="J9" s="7"/>
      <c r="K9" s="7"/>
      <c r="L9" s="7"/>
      <c r="M9" s="7"/>
      <c r="N9" s="7"/>
    </row>
    <row r="10" spans="2:14" ht="15.75" x14ac:dyDescent="0.25">
      <c r="C10" s="9"/>
      <c r="E10" s="10"/>
      <c r="F10" s="7"/>
      <c r="G10" s="8"/>
      <c r="H10" s="7"/>
      <c r="I10" s="7"/>
      <c r="J10" s="7"/>
      <c r="K10" s="7"/>
      <c r="L10" s="7"/>
      <c r="M10" s="7"/>
      <c r="N10" s="7"/>
    </row>
    <row r="11" spans="2:14" ht="15.75" x14ac:dyDescent="0.25">
      <c r="C11" s="9"/>
      <c r="D11" s="2" t="s">
        <v>7</v>
      </c>
      <c r="E11" s="7"/>
      <c r="F11" s="7"/>
      <c r="G11" s="8"/>
      <c r="H11" s="7"/>
      <c r="I11" s="7"/>
      <c r="J11" s="7"/>
      <c r="K11" s="7"/>
      <c r="L11" s="7"/>
      <c r="M11" s="7"/>
      <c r="N11" s="7"/>
    </row>
    <row r="12" spans="2:14" ht="15.75" x14ac:dyDescent="0.25">
      <c r="C12" s="9"/>
      <c r="E12" s="10" t="s">
        <v>8</v>
      </c>
      <c r="F12" s="7"/>
      <c r="G12" s="8"/>
      <c r="H12" s="7"/>
      <c r="I12" s="7"/>
      <c r="J12" s="7"/>
      <c r="K12" s="7"/>
      <c r="L12" s="7"/>
      <c r="M12" s="7"/>
      <c r="N12" s="7"/>
    </row>
    <row r="13" spans="2:14" ht="15.75" x14ac:dyDescent="0.25">
      <c r="C13" s="9"/>
      <c r="E13" s="10" t="s">
        <v>9</v>
      </c>
      <c r="F13" s="7"/>
      <c r="G13" s="8"/>
      <c r="H13" s="7"/>
      <c r="I13" s="7"/>
      <c r="J13" s="7"/>
      <c r="K13" s="7"/>
      <c r="L13" s="7"/>
      <c r="M13" s="7"/>
      <c r="N13" s="7"/>
    </row>
    <row r="14" spans="2:14" ht="15.75" x14ac:dyDescent="0.25">
      <c r="C14" s="9"/>
      <c r="E14" s="10"/>
      <c r="F14" s="7"/>
      <c r="G14" s="8"/>
      <c r="H14" s="7"/>
      <c r="I14" s="7"/>
      <c r="J14" s="7"/>
      <c r="K14" s="7"/>
      <c r="L14" s="7"/>
      <c r="M14" s="7"/>
      <c r="N14" s="7"/>
    </row>
    <row r="15" spans="2:14" ht="15.75" x14ac:dyDescent="0.25">
      <c r="C15" s="9"/>
      <c r="D15" s="2" t="s">
        <v>10</v>
      </c>
      <c r="E15" s="10"/>
      <c r="F15" s="7"/>
      <c r="G15" s="8"/>
      <c r="H15" s="7"/>
      <c r="I15" s="7"/>
      <c r="J15" s="7"/>
      <c r="K15" s="7"/>
      <c r="L15" s="7"/>
      <c r="M15" s="7"/>
      <c r="N15" s="7"/>
    </row>
    <row r="16" spans="2:14" ht="15.75" x14ac:dyDescent="0.25">
      <c r="C16" s="9"/>
      <c r="E16" s="10" t="s">
        <v>11</v>
      </c>
      <c r="F16" s="7"/>
      <c r="G16" s="8"/>
      <c r="H16" s="7"/>
      <c r="I16" s="7"/>
      <c r="J16" s="7"/>
      <c r="K16" s="7"/>
      <c r="L16" s="7"/>
      <c r="M16" s="7"/>
      <c r="N16" s="7"/>
    </row>
    <row r="17" spans="2:14" ht="15.75" x14ac:dyDescent="0.25">
      <c r="C17" s="9"/>
      <c r="E17" s="10" t="s">
        <v>12</v>
      </c>
      <c r="F17" s="7"/>
      <c r="G17" s="8"/>
      <c r="H17" s="7"/>
      <c r="I17" s="7"/>
      <c r="J17" s="7"/>
      <c r="K17" s="7"/>
      <c r="L17" s="7"/>
      <c r="M17" s="7"/>
      <c r="N17" s="7"/>
    </row>
    <row r="18" spans="2:14" ht="15.75" x14ac:dyDescent="0.25">
      <c r="E18" s="7"/>
      <c r="F18" s="7"/>
      <c r="G18" s="8"/>
      <c r="H18" s="7"/>
      <c r="I18" s="7"/>
      <c r="J18" s="7"/>
      <c r="K18" s="7"/>
      <c r="L18" s="7"/>
      <c r="M18" s="7"/>
      <c r="N18" s="7"/>
    </row>
    <row r="19" spans="2:14" ht="15.75" x14ac:dyDescent="0.25">
      <c r="E19" s="7"/>
      <c r="F19" s="7"/>
      <c r="G19" s="8"/>
      <c r="H19" s="7"/>
      <c r="I19" s="7"/>
      <c r="J19" s="7"/>
      <c r="K19" s="7"/>
      <c r="L19" s="7"/>
      <c r="M19" s="7"/>
      <c r="N19" s="7"/>
    </row>
    <row r="20" spans="2:14" ht="15.75" x14ac:dyDescent="0.25">
      <c r="B20" s="6">
        <v>1</v>
      </c>
      <c r="C20" s="2" t="s">
        <v>13</v>
      </c>
      <c r="E20" s="7"/>
      <c r="F20" s="7"/>
      <c r="G20" s="8"/>
      <c r="H20" s="7"/>
      <c r="I20" s="7"/>
      <c r="J20" s="7"/>
      <c r="K20" s="7"/>
      <c r="L20" s="7"/>
      <c r="M20" s="7"/>
      <c r="N20" s="7"/>
    </row>
    <row r="21" spans="2:14" ht="16.5" x14ac:dyDescent="0.3">
      <c r="E21" s="11" t="s">
        <v>14</v>
      </c>
      <c r="F21" s="12">
        <v>125</v>
      </c>
      <c r="G21" s="4" t="s">
        <v>15</v>
      </c>
      <c r="H21" s="4"/>
      <c r="I21" s="7"/>
      <c r="J21" s="7"/>
      <c r="K21" s="7"/>
      <c r="L21" s="7"/>
      <c r="M21" s="7"/>
      <c r="N21" s="7"/>
    </row>
    <row r="22" spans="2:14" ht="16.5" x14ac:dyDescent="0.3">
      <c r="E22" s="13" t="s">
        <v>16</v>
      </c>
      <c r="F22" s="12">
        <v>0.6</v>
      </c>
      <c r="G22" s="4" t="s">
        <v>17</v>
      </c>
      <c r="H22" s="4"/>
      <c r="I22" s="7"/>
      <c r="J22" s="7"/>
      <c r="K22" s="7"/>
      <c r="L22" s="7"/>
      <c r="M22" s="7"/>
      <c r="N22" s="7"/>
    </row>
    <row r="23" spans="2:14" ht="16.5" x14ac:dyDescent="0.3">
      <c r="E23" s="13" t="s">
        <v>18</v>
      </c>
      <c r="F23" s="14">
        <f>F21+(F21*F22)</f>
        <v>200</v>
      </c>
      <c r="G23" s="4" t="s">
        <v>15</v>
      </c>
      <c r="H23" s="4"/>
      <c r="I23" s="7"/>
      <c r="J23" s="7"/>
      <c r="K23" s="7"/>
      <c r="L23" s="7"/>
      <c r="M23" s="7"/>
      <c r="N23" s="7"/>
    </row>
    <row r="24" spans="2:14" ht="16.5" x14ac:dyDescent="0.3">
      <c r="E24" s="13"/>
      <c r="H24" s="4"/>
      <c r="I24" s="7"/>
      <c r="J24" s="7"/>
      <c r="K24" s="7"/>
      <c r="L24" s="7"/>
      <c r="M24" s="7"/>
      <c r="N24" s="7"/>
    </row>
    <row r="25" spans="2:14" ht="16.5" x14ac:dyDescent="0.3">
      <c r="E25" s="11"/>
      <c r="H25" s="4"/>
      <c r="I25" s="7"/>
      <c r="J25" s="7"/>
      <c r="K25" s="7"/>
      <c r="L25" s="7"/>
      <c r="M25" s="7"/>
      <c r="N25" s="7"/>
    </row>
    <row r="26" spans="2:14" ht="15.75" x14ac:dyDescent="0.25">
      <c r="B26" s="6">
        <v>2</v>
      </c>
      <c r="C26" s="2" t="s">
        <v>19</v>
      </c>
      <c r="H26" s="4"/>
      <c r="J26" s="7"/>
      <c r="K26" s="7"/>
      <c r="L26" s="7"/>
      <c r="M26" s="7"/>
      <c r="N26" s="7"/>
    </row>
    <row r="27" spans="2:14" ht="16.5" x14ac:dyDescent="0.3">
      <c r="E27" s="11" t="s">
        <v>20</v>
      </c>
      <c r="F27" s="15">
        <v>50</v>
      </c>
      <c r="G27" s="4" t="s">
        <v>21</v>
      </c>
      <c r="H27" s="16">
        <f>F27/$F$23</f>
        <v>0.25</v>
      </c>
      <c r="I27" s="17" t="s">
        <v>22</v>
      </c>
      <c r="L27" s="17"/>
      <c r="M27" s="17"/>
      <c r="N27" s="7"/>
    </row>
    <row r="28" spans="2:14" ht="15.75" x14ac:dyDescent="0.25">
      <c r="E28" s="3" t="s">
        <v>23</v>
      </c>
      <c r="F28" s="15">
        <v>100</v>
      </c>
      <c r="G28" s="4" t="s">
        <v>21</v>
      </c>
      <c r="H28" s="16">
        <f>F28/$F$23</f>
        <v>0.5</v>
      </c>
      <c r="I28" s="17" t="s">
        <v>22</v>
      </c>
      <c r="L28" s="17"/>
      <c r="M28" s="17"/>
      <c r="N28" s="7"/>
    </row>
    <row r="29" spans="2:14" ht="16.5" x14ac:dyDescent="0.3">
      <c r="E29" s="11" t="s">
        <v>24</v>
      </c>
      <c r="F29" s="15">
        <v>150</v>
      </c>
      <c r="G29" s="4" t="s">
        <v>21</v>
      </c>
      <c r="H29" s="16">
        <f>F29/$F$23</f>
        <v>0.75</v>
      </c>
      <c r="I29" s="17" t="s">
        <v>22</v>
      </c>
      <c r="L29" s="17"/>
      <c r="M29" s="17"/>
      <c r="N29" s="7"/>
    </row>
    <row r="30" spans="2:14" ht="15.75" x14ac:dyDescent="0.25">
      <c r="F30" s="18"/>
      <c r="H30" s="7"/>
      <c r="I30" s="7"/>
      <c r="J30" s="7"/>
      <c r="K30" s="7"/>
      <c r="L30" s="7"/>
      <c r="M30" s="7"/>
      <c r="N30" s="7"/>
    </row>
    <row r="31" spans="2:14" ht="15.75" x14ac:dyDescent="0.25">
      <c r="F31" s="18"/>
      <c r="H31" s="7"/>
      <c r="I31" s="7"/>
      <c r="J31" s="7"/>
      <c r="K31" s="7"/>
      <c r="L31" s="7"/>
      <c r="M31" s="7"/>
      <c r="N31" s="7"/>
    </row>
    <row r="32" spans="2:14" ht="15.75" x14ac:dyDescent="0.25">
      <c r="B32" s="6">
        <v>3</v>
      </c>
      <c r="C32" s="2" t="s">
        <v>25</v>
      </c>
      <c r="F32" s="7"/>
      <c r="G32" s="7"/>
      <c r="H32" s="7"/>
      <c r="I32" s="7"/>
      <c r="J32" s="7"/>
      <c r="K32" s="7"/>
      <c r="L32" s="7"/>
      <c r="M32" s="7"/>
      <c r="N32" s="7"/>
    </row>
    <row r="33" spans="2:33" ht="15.75" x14ac:dyDescent="0.25">
      <c r="E33" s="3" t="s">
        <v>26</v>
      </c>
      <c r="F33" s="19">
        <v>5</v>
      </c>
      <c r="G33" s="4" t="s">
        <v>27</v>
      </c>
      <c r="H33" s="17"/>
      <c r="I33" s="7"/>
      <c r="J33" s="7"/>
      <c r="K33" s="7"/>
      <c r="L33" s="7"/>
      <c r="M33" s="7"/>
      <c r="N33" s="7"/>
    </row>
    <row r="34" spans="2:33" ht="15.75" x14ac:dyDescent="0.25">
      <c r="E34" s="3" t="s">
        <v>28</v>
      </c>
      <c r="F34" s="20">
        <v>0.85</v>
      </c>
      <c r="G34" s="4" t="s">
        <v>29</v>
      </c>
      <c r="H34" s="17" t="s">
        <v>30</v>
      </c>
      <c r="I34" s="7"/>
      <c r="J34" s="7"/>
      <c r="K34" s="7"/>
      <c r="L34" s="7"/>
      <c r="M34" s="7"/>
      <c r="N34" s="7"/>
    </row>
    <row r="35" spans="2:33" ht="15.75" x14ac:dyDescent="0.25">
      <c r="E35" s="3" t="s">
        <v>31</v>
      </c>
      <c r="F35" s="20">
        <v>0.8</v>
      </c>
      <c r="G35" s="4" t="s">
        <v>29</v>
      </c>
      <c r="H35" s="21" t="str">
        <f>IF(F35&lt;=F34," OK"," Set at or below the manufacturer's sensor cut-out!")</f>
        <v xml:space="preserve"> OK</v>
      </c>
      <c r="I35" s="7"/>
      <c r="J35" s="7"/>
      <c r="K35" s="7"/>
      <c r="L35" s="7"/>
      <c r="M35" s="7"/>
      <c r="N35" s="7"/>
    </row>
    <row r="36" spans="2:33" ht="15.75" x14ac:dyDescent="0.25">
      <c r="H36" s="7"/>
      <c r="I36" s="7"/>
      <c r="J36" s="7"/>
      <c r="K36" s="7"/>
      <c r="L36" s="7"/>
      <c r="M36" s="7"/>
      <c r="N36" s="7"/>
    </row>
    <row r="37" spans="2:33" ht="15.75" x14ac:dyDescent="0.25">
      <c r="E37" s="7"/>
      <c r="F37" s="7"/>
      <c r="G37" s="8"/>
      <c r="H37" s="7"/>
      <c r="I37" s="7"/>
      <c r="J37" s="7"/>
      <c r="K37" s="7"/>
      <c r="L37" s="7"/>
      <c r="M37" s="7"/>
      <c r="N37" s="7"/>
    </row>
    <row r="38" spans="2:33" x14ac:dyDescent="0.25">
      <c r="B38" s="6">
        <v>4</v>
      </c>
      <c r="C38" s="2" t="s">
        <v>32</v>
      </c>
      <c r="F38" s="22"/>
      <c r="H38" s="90" t="s">
        <v>69</v>
      </c>
      <c r="I38" s="91"/>
      <c r="J38" s="91"/>
      <c r="K38" s="91"/>
      <c r="L38" s="91"/>
      <c r="M38" s="91"/>
      <c r="N38" s="91"/>
      <c r="O38" s="91"/>
      <c r="P38" s="91"/>
      <c r="Q38" s="91"/>
      <c r="R38" s="91"/>
      <c r="S38" s="91"/>
      <c r="T38" s="91"/>
      <c r="U38" s="91"/>
      <c r="V38" s="91"/>
      <c r="W38" s="91"/>
      <c r="X38" s="91"/>
      <c r="Y38" s="91"/>
      <c r="Z38" s="91"/>
      <c r="AA38" s="91"/>
      <c r="AB38" s="91"/>
      <c r="AC38" s="91"/>
      <c r="AD38" s="91"/>
      <c r="AE38" s="92"/>
      <c r="AF38" s="23" t="s">
        <v>33</v>
      </c>
      <c r="AG38" s="93" t="s">
        <v>34</v>
      </c>
    </row>
    <row r="39" spans="2:33" x14ac:dyDescent="0.25">
      <c r="E39" s="3" t="s">
        <v>35</v>
      </c>
      <c r="F39" s="94">
        <v>45867</v>
      </c>
      <c r="G39" s="94"/>
      <c r="H39" s="24">
        <v>0</v>
      </c>
      <c r="I39" s="81">
        <v>4.1666666666666664E-2</v>
      </c>
      <c r="J39" s="81">
        <v>8.3333333333333301E-2</v>
      </c>
      <c r="K39" s="81">
        <v>0.125</v>
      </c>
      <c r="L39" s="81">
        <v>0.16666666666666699</v>
      </c>
      <c r="M39" s="81">
        <v>0.20833333333333301</v>
      </c>
      <c r="N39" s="81">
        <v>0.25</v>
      </c>
      <c r="O39" s="81">
        <v>0.29166666666666702</v>
      </c>
      <c r="P39" s="81">
        <v>0.33333333333333298</v>
      </c>
      <c r="Q39" s="81">
        <v>0.375</v>
      </c>
      <c r="R39" s="81">
        <v>0.41666666666666702</v>
      </c>
      <c r="S39" s="81">
        <v>0.45833333333333298</v>
      </c>
      <c r="T39" s="81">
        <v>0.5</v>
      </c>
      <c r="U39" s="81">
        <v>0.54166666666666696</v>
      </c>
      <c r="V39" s="81">
        <v>0.58333333333333304</v>
      </c>
      <c r="W39" s="81">
        <v>0.625</v>
      </c>
      <c r="X39" s="81">
        <v>0.66666666666666696</v>
      </c>
      <c r="Y39" s="81">
        <v>0.70833333333333304</v>
      </c>
      <c r="Z39" s="81">
        <v>0.75</v>
      </c>
      <c r="AA39" s="81">
        <v>0.79166666666666696</v>
      </c>
      <c r="AB39" s="81">
        <v>0.83333333333333404</v>
      </c>
      <c r="AC39" s="81">
        <v>0.875</v>
      </c>
      <c r="AD39" s="81">
        <v>0.91666666666666696</v>
      </c>
      <c r="AE39" s="25">
        <v>0.95833333333333404</v>
      </c>
      <c r="AF39" s="26"/>
      <c r="AG39" s="93"/>
    </row>
    <row r="40" spans="2:33" ht="16.5" x14ac:dyDescent="0.3">
      <c r="E40" s="11" t="s">
        <v>36</v>
      </c>
      <c r="F40" s="11"/>
      <c r="G40" s="27" t="s">
        <v>37</v>
      </c>
      <c r="H40" s="82">
        <v>26</v>
      </c>
      <c r="I40" s="83">
        <v>25</v>
      </c>
      <c r="J40" s="83">
        <v>24</v>
      </c>
      <c r="K40" s="83">
        <v>23</v>
      </c>
      <c r="L40" s="83">
        <v>22</v>
      </c>
      <c r="M40" s="83">
        <v>21</v>
      </c>
      <c r="N40" s="83">
        <v>21</v>
      </c>
      <c r="O40" s="83">
        <v>23</v>
      </c>
      <c r="P40" s="83">
        <v>24</v>
      </c>
      <c r="Q40" s="83">
        <v>26</v>
      </c>
      <c r="R40" s="83">
        <v>27</v>
      </c>
      <c r="S40" s="83">
        <v>29</v>
      </c>
      <c r="T40" s="83">
        <v>31</v>
      </c>
      <c r="U40" s="83">
        <v>32</v>
      </c>
      <c r="V40" s="83">
        <v>33</v>
      </c>
      <c r="W40" s="83">
        <v>34</v>
      </c>
      <c r="X40" s="83">
        <v>36</v>
      </c>
      <c r="Y40" s="83">
        <v>36</v>
      </c>
      <c r="Z40" s="83">
        <v>35</v>
      </c>
      <c r="AA40" s="83">
        <v>35</v>
      </c>
      <c r="AB40" s="83">
        <v>33</v>
      </c>
      <c r="AC40" s="83">
        <v>31</v>
      </c>
      <c r="AD40" s="83">
        <v>29</v>
      </c>
      <c r="AE40" s="84">
        <v>27</v>
      </c>
      <c r="AF40" s="28">
        <f>MAX(H40:AE40)</f>
        <v>36</v>
      </c>
    </row>
    <row r="41" spans="2:33" ht="16.5" x14ac:dyDescent="0.3">
      <c r="E41" s="11" t="s">
        <v>38</v>
      </c>
      <c r="F41" s="11"/>
      <c r="G41" s="27" t="s">
        <v>39</v>
      </c>
      <c r="H41" s="85">
        <v>0.56000000000000005</v>
      </c>
      <c r="I41" s="86">
        <v>0.59</v>
      </c>
      <c r="J41" s="86">
        <v>0.61</v>
      </c>
      <c r="K41" s="86">
        <v>0.65</v>
      </c>
      <c r="L41" s="86">
        <v>0.7</v>
      </c>
      <c r="M41" s="86">
        <v>0.73</v>
      </c>
      <c r="N41" s="86">
        <v>0.74</v>
      </c>
      <c r="O41" s="86">
        <v>0.7</v>
      </c>
      <c r="P41" s="86">
        <v>0.64</v>
      </c>
      <c r="Q41" s="86">
        <v>0.6</v>
      </c>
      <c r="R41" s="86">
        <v>0.55000000000000004</v>
      </c>
      <c r="S41" s="86">
        <v>0.49</v>
      </c>
      <c r="T41" s="86">
        <v>0.43</v>
      </c>
      <c r="U41" s="86">
        <v>0.39</v>
      </c>
      <c r="V41" s="86">
        <v>0.36</v>
      </c>
      <c r="W41" s="86">
        <v>0.33</v>
      </c>
      <c r="X41" s="86">
        <v>0.31</v>
      </c>
      <c r="Y41" s="86">
        <v>0.28999999999999998</v>
      </c>
      <c r="Z41" s="86">
        <v>0.28999999999999998</v>
      </c>
      <c r="AA41" s="86">
        <v>0.31</v>
      </c>
      <c r="AB41" s="86">
        <v>0.34</v>
      </c>
      <c r="AC41" s="86">
        <v>0.41</v>
      </c>
      <c r="AD41" s="86">
        <v>0.48</v>
      </c>
      <c r="AE41" s="87">
        <v>0.53</v>
      </c>
      <c r="AF41" s="29">
        <f>MAX(H41:AE41)</f>
        <v>0.74</v>
      </c>
      <c r="AG41" s="14" t="str">
        <f>IF(AF41&gt;=$F$35," Values &gt; cooler humidifying limit"," OK")</f>
        <v xml:space="preserve"> OK</v>
      </c>
    </row>
    <row r="42" spans="2:33" ht="16.5" x14ac:dyDescent="0.3">
      <c r="E42" s="11" t="s">
        <v>40</v>
      </c>
      <c r="F42" s="11"/>
      <c r="G42" s="30" t="s">
        <v>41</v>
      </c>
      <c r="H42" s="31">
        <f>6.112*EXP((17.67*H$40)/(H$40+243.5))*(H41*100)*18.02/((273.15+H$40)*100*0.08314)</f>
        <v>13.638742615336534</v>
      </c>
      <c r="I42" s="88">
        <f t="shared" ref="I42:AE42" si="0">6.112*EXP((17.67*I$40)/(I$40+243.5))*(I41*100)*18.02/((273.15+I$40)*100*0.08314)</f>
        <v>13.585289979271169</v>
      </c>
      <c r="J42" s="88">
        <f t="shared" si="0"/>
        <v>13.273612739929996</v>
      </c>
      <c r="K42" s="88">
        <f t="shared" si="0"/>
        <v>13.360562486746257</v>
      </c>
      <c r="L42" s="88">
        <f t="shared" si="0"/>
        <v>13.585292782439318</v>
      </c>
      <c r="M42" s="88">
        <f t="shared" si="0"/>
        <v>13.370839997400029</v>
      </c>
      <c r="N42" s="88">
        <f t="shared" si="0"/>
        <v>13.554002189145237</v>
      </c>
      <c r="O42" s="88">
        <f t="shared" si="0"/>
        <v>14.388298062649815</v>
      </c>
      <c r="P42" s="88">
        <f t="shared" si="0"/>
        <v>13.926413366483931</v>
      </c>
      <c r="Q42" s="88">
        <f t="shared" si="0"/>
        <v>14.612938516431999</v>
      </c>
      <c r="R42" s="88">
        <f t="shared" si="0"/>
        <v>14.1622521391884</v>
      </c>
      <c r="S42" s="88">
        <f t="shared" si="0"/>
        <v>14.085828805627775</v>
      </c>
      <c r="T42" s="88">
        <f t="shared" si="0"/>
        <v>13.776905886347432</v>
      </c>
      <c r="U42" s="88">
        <f t="shared" si="0"/>
        <v>13.183518401092369</v>
      </c>
      <c r="V42" s="88">
        <f t="shared" si="0"/>
        <v>12.834490913440408</v>
      </c>
      <c r="W42" s="88">
        <f t="shared" si="0"/>
        <v>12.403017255193234</v>
      </c>
      <c r="X42" s="88">
        <f t="shared" si="0"/>
        <v>12.934230960418699</v>
      </c>
      <c r="Y42" s="88">
        <f t="shared" si="0"/>
        <v>12.099764446843295</v>
      </c>
      <c r="Z42" s="88">
        <f t="shared" si="0"/>
        <v>11.486253072897922</v>
      </c>
      <c r="AA42" s="88">
        <f t="shared" si="0"/>
        <v>12.27840845723571</v>
      </c>
      <c r="AB42" s="88">
        <f t="shared" si="0"/>
        <v>12.121463640471497</v>
      </c>
      <c r="AC42" s="88">
        <f t="shared" si="0"/>
        <v>13.136119566052203</v>
      </c>
      <c r="AD42" s="88">
        <f t="shared" si="0"/>
        <v>13.798362911635371</v>
      </c>
      <c r="AE42" s="33">
        <f t="shared" si="0"/>
        <v>13.647261152308818</v>
      </c>
      <c r="AF42" s="34">
        <f>MAX(H42:AE42)</f>
        <v>14.612938516431999</v>
      </c>
    </row>
    <row r="43" spans="2:33" ht="16.5" x14ac:dyDescent="0.3">
      <c r="E43" s="13" t="s">
        <v>42</v>
      </c>
      <c r="F43" s="11"/>
      <c r="G43" s="35" t="s">
        <v>43</v>
      </c>
      <c r="H43" s="82">
        <v>1013</v>
      </c>
      <c r="I43" s="83">
        <v>1013</v>
      </c>
      <c r="J43" s="83">
        <v>1013</v>
      </c>
      <c r="K43" s="83">
        <v>1013</v>
      </c>
      <c r="L43" s="83">
        <v>1013</v>
      </c>
      <c r="M43" s="83">
        <v>1013</v>
      </c>
      <c r="N43" s="83">
        <v>1013</v>
      </c>
      <c r="O43" s="83">
        <v>1013</v>
      </c>
      <c r="P43" s="83">
        <v>1013</v>
      </c>
      <c r="Q43" s="83">
        <v>1013</v>
      </c>
      <c r="R43" s="83">
        <v>1013</v>
      </c>
      <c r="S43" s="83">
        <v>1013</v>
      </c>
      <c r="T43" s="83">
        <v>1013</v>
      </c>
      <c r="U43" s="83">
        <v>1013</v>
      </c>
      <c r="V43" s="83">
        <v>1013</v>
      </c>
      <c r="W43" s="83">
        <v>1013</v>
      </c>
      <c r="X43" s="83">
        <v>1013</v>
      </c>
      <c r="Y43" s="83">
        <v>1013</v>
      </c>
      <c r="Z43" s="83">
        <v>1013</v>
      </c>
      <c r="AA43" s="83">
        <v>1013</v>
      </c>
      <c r="AB43" s="83">
        <v>1013</v>
      </c>
      <c r="AC43" s="83">
        <v>1013</v>
      </c>
      <c r="AD43" s="83">
        <v>1013</v>
      </c>
      <c r="AE43" s="84">
        <v>1013</v>
      </c>
      <c r="AF43" s="28">
        <f>MAX(H43:AE43)</f>
        <v>1013</v>
      </c>
      <c r="AG43" s="14" t="str">
        <f>IF(OR(AF43&gt;1063,AF43&lt;963)," SEE NOTE"," OK")</f>
        <v xml:space="preserve"> OK</v>
      </c>
    </row>
    <row r="44" spans="2:33" s="22" customFormat="1" ht="16.5" x14ac:dyDescent="0.3">
      <c r="B44" s="6"/>
      <c r="C44" s="2"/>
      <c r="D44" s="2"/>
      <c r="E44" s="36" t="s">
        <v>44</v>
      </c>
      <c r="F44" s="36"/>
      <c r="G44" s="37" t="s">
        <v>37</v>
      </c>
      <c r="H44" s="38">
        <f t="shared" ref="H44:AE44" si="1">H40*ATAN(0.151977*((H41*100)+8.313659)^(1/2))+ATAN(H40+(H41*100))-ATAN((H41*100)-1.676331)+0.00391838*((H41*100))^(3/2)*ATAN(0.023101*(H41*100))-4.686035</f>
        <v>19.794851806689511</v>
      </c>
      <c r="I44" s="89">
        <f t="shared" si="1"/>
        <v>19.355865695240933</v>
      </c>
      <c r="J44" s="89">
        <f t="shared" si="1"/>
        <v>18.746699961362161</v>
      </c>
      <c r="K44" s="89">
        <f t="shared" si="1"/>
        <v>18.395705536793219</v>
      </c>
      <c r="L44" s="89">
        <f t="shared" si="1"/>
        <v>18.14324477265161</v>
      </c>
      <c r="M44" s="89">
        <f t="shared" si="1"/>
        <v>17.596957921548828</v>
      </c>
      <c r="N44" s="89">
        <f t="shared" si="1"/>
        <v>17.724951009579751</v>
      </c>
      <c r="O44" s="89">
        <f t="shared" si="1"/>
        <v>19.074805151062762</v>
      </c>
      <c r="P44" s="89">
        <f t="shared" si="1"/>
        <v>19.171031485455</v>
      </c>
      <c r="Q44" s="89">
        <f t="shared" si="1"/>
        <v>20.401253335478422</v>
      </c>
      <c r="R44" s="89">
        <f t="shared" si="1"/>
        <v>20.521134319604066</v>
      </c>
      <c r="S44" s="89">
        <f t="shared" si="1"/>
        <v>21.264370468992173</v>
      </c>
      <c r="T44" s="89">
        <f t="shared" si="1"/>
        <v>21.851240277216078</v>
      </c>
      <c r="U44" s="89">
        <f t="shared" si="1"/>
        <v>21.869001042804673</v>
      </c>
      <c r="V44" s="89">
        <f t="shared" si="1"/>
        <v>22.025628186707909</v>
      </c>
      <c r="W44" s="89">
        <f t="shared" si="1"/>
        <v>22.120054345653823</v>
      </c>
      <c r="X44" s="89">
        <f t="shared" si="1"/>
        <v>23.159788494213384</v>
      </c>
      <c r="Y44" s="89">
        <f t="shared" si="1"/>
        <v>22.633692037378676</v>
      </c>
      <c r="Z44" s="89">
        <f t="shared" si="1"/>
        <v>21.885192528857473</v>
      </c>
      <c r="AA44" s="89">
        <f t="shared" si="1"/>
        <v>22.398274929144225</v>
      </c>
      <c r="AB44" s="89">
        <f t="shared" si="1"/>
        <v>21.576047081016238</v>
      </c>
      <c r="AC44" s="89">
        <f t="shared" si="1"/>
        <v>21.460795990867947</v>
      </c>
      <c r="AD44" s="89">
        <f t="shared" si="1"/>
        <v>21.090189313907235</v>
      </c>
      <c r="AE44" s="40">
        <f t="shared" si="1"/>
        <v>20.203018939458662</v>
      </c>
      <c r="AF44" s="41">
        <f>MAX(H44:AE44)</f>
        <v>23.159788494213384</v>
      </c>
    </row>
    <row r="45" spans="2:33" ht="16.5" x14ac:dyDescent="0.3">
      <c r="E45" s="2"/>
      <c r="F45" s="11"/>
      <c r="G45" s="27"/>
      <c r="H45" s="42"/>
      <c r="I45" s="43"/>
      <c r="J45" s="43"/>
      <c r="K45" s="43"/>
      <c r="L45" s="43"/>
      <c r="M45" s="43"/>
      <c r="N45" s="43"/>
      <c r="O45" s="43"/>
      <c r="P45" s="43"/>
      <c r="Q45" s="43"/>
      <c r="R45" s="43"/>
      <c r="S45" s="43"/>
      <c r="T45" s="43"/>
      <c r="U45" s="43"/>
      <c r="V45" s="43"/>
      <c r="W45" s="43"/>
      <c r="X45" s="43"/>
      <c r="Y45" s="43"/>
      <c r="Z45" s="43"/>
      <c r="AA45" s="43"/>
      <c r="AB45" s="43"/>
      <c r="AC45" s="43"/>
      <c r="AD45" s="43"/>
      <c r="AE45" s="44"/>
      <c r="AF45" s="45"/>
    </row>
    <row r="46" spans="2:33" ht="16.5" x14ac:dyDescent="0.3">
      <c r="E46" s="2"/>
      <c r="F46" s="11"/>
      <c r="G46" s="46"/>
      <c r="H46" s="42"/>
      <c r="I46" s="43"/>
      <c r="J46" s="43"/>
      <c r="K46" s="43"/>
      <c r="L46" s="43"/>
      <c r="M46" s="43"/>
      <c r="N46" s="43"/>
      <c r="O46" s="43"/>
      <c r="P46" s="43"/>
      <c r="Q46" s="43"/>
      <c r="R46" s="43"/>
      <c r="S46" s="43"/>
      <c r="T46" s="43"/>
      <c r="U46" s="43"/>
      <c r="V46" s="43"/>
      <c r="W46" s="43"/>
      <c r="X46" s="43"/>
      <c r="Y46" s="43"/>
      <c r="Z46" s="43"/>
      <c r="AA46" s="43"/>
      <c r="AB46" s="43"/>
      <c r="AC46" s="43"/>
      <c r="AD46" s="43"/>
      <c r="AE46" s="44"/>
      <c r="AF46" s="45"/>
    </row>
    <row r="47" spans="2:33" ht="16.5" x14ac:dyDescent="0.3">
      <c r="B47" s="6" t="s">
        <v>45</v>
      </c>
      <c r="C47" s="2" t="s">
        <v>46</v>
      </c>
      <c r="E47" s="2"/>
      <c r="F47" s="11"/>
      <c r="G47" s="27"/>
      <c r="H47" s="42"/>
      <c r="I47" s="43"/>
      <c r="J47" s="43"/>
      <c r="K47" s="43"/>
      <c r="L47" s="43"/>
      <c r="M47" s="43"/>
      <c r="N47" s="43"/>
      <c r="O47" s="43"/>
      <c r="P47" s="43"/>
      <c r="Q47" s="43"/>
      <c r="R47" s="43"/>
      <c r="S47" s="43"/>
      <c r="T47" s="43"/>
      <c r="U47" s="43"/>
      <c r="V47" s="43"/>
      <c r="W47" s="43"/>
      <c r="X47" s="43"/>
      <c r="Y47" s="43"/>
      <c r="Z47" s="43"/>
      <c r="AA47" s="43"/>
      <c r="AB47" s="43"/>
      <c r="AC47" s="43"/>
      <c r="AD47" s="43"/>
      <c r="AE47" s="44"/>
      <c r="AF47" s="45"/>
    </row>
    <row r="48" spans="2:33" ht="16.5" x14ac:dyDescent="0.3">
      <c r="E48" s="11" t="s">
        <v>47</v>
      </c>
      <c r="F48" s="11"/>
      <c r="G48" s="35" t="s">
        <v>48</v>
      </c>
      <c r="H48" s="47">
        <f t="shared" ref="H48:AE48" si="2">(6.112*EXP((17.67*H$44)/(H$44+243.5)))*100</f>
        <v>2307.4031206894861</v>
      </c>
      <c r="I48" s="48">
        <f t="shared" si="2"/>
        <v>2245.2823334962704</v>
      </c>
      <c r="J48" s="48">
        <f t="shared" si="2"/>
        <v>2161.5132303263995</v>
      </c>
      <c r="K48" s="48">
        <f t="shared" si="2"/>
        <v>2114.5033430002172</v>
      </c>
      <c r="L48" s="48">
        <f t="shared" si="2"/>
        <v>2081.247944961824</v>
      </c>
      <c r="M48" s="48">
        <f t="shared" si="2"/>
        <v>2010.8566725954033</v>
      </c>
      <c r="N48" s="48">
        <f t="shared" si="2"/>
        <v>2027.1586833417189</v>
      </c>
      <c r="O48" s="48">
        <f t="shared" si="2"/>
        <v>2206.2848574413238</v>
      </c>
      <c r="P48" s="48">
        <f t="shared" si="2"/>
        <v>2219.5688916344693</v>
      </c>
      <c r="Q48" s="48">
        <f t="shared" si="2"/>
        <v>2395.6938064424598</v>
      </c>
      <c r="R48" s="48">
        <f t="shared" si="2"/>
        <v>2413.4948516976438</v>
      </c>
      <c r="S48" s="48">
        <f t="shared" si="2"/>
        <v>2526.469818182481</v>
      </c>
      <c r="T48" s="48">
        <f t="shared" si="2"/>
        <v>2618.9265876065715</v>
      </c>
      <c r="U48" s="48">
        <f t="shared" si="2"/>
        <v>2621.7702948804026</v>
      </c>
      <c r="V48" s="48">
        <f t="shared" si="2"/>
        <v>2646.9655656176947</v>
      </c>
      <c r="W48" s="48">
        <f t="shared" si="2"/>
        <v>2662.2574252371523</v>
      </c>
      <c r="X48" s="48">
        <f t="shared" si="2"/>
        <v>2835.8281978832529</v>
      </c>
      <c r="Y48" s="48">
        <f t="shared" si="2"/>
        <v>2746.8024593946116</v>
      </c>
      <c r="Z48" s="48">
        <f t="shared" si="2"/>
        <v>2624.3651003944683</v>
      </c>
      <c r="AA48" s="48">
        <f t="shared" si="2"/>
        <v>2707.7650430061158</v>
      </c>
      <c r="AB48" s="48">
        <f t="shared" si="2"/>
        <v>2575.2091555332122</v>
      </c>
      <c r="AC48" s="48">
        <f t="shared" si="2"/>
        <v>2557.0912196642453</v>
      </c>
      <c r="AD48" s="48">
        <f t="shared" si="2"/>
        <v>2499.5856537638497</v>
      </c>
      <c r="AE48" s="49">
        <f t="shared" si="2"/>
        <v>2366.5107625922483</v>
      </c>
      <c r="AF48" s="50">
        <f>MAX(H48:AE48)</f>
        <v>2835.8281978832529</v>
      </c>
    </row>
    <row r="49" spans="2:32" ht="16.5" x14ac:dyDescent="0.3">
      <c r="E49" s="10" t="s">
        <v>49</v>
      </c>
      <c r="F49" s="11"/>
      <c r="G49" s="30" t="s">
        <v>41</v>
      </c>
      <c r="H49" s="31">
        <f t="shared" ref="H49:AE49" si="3">(2.16679*H$48)/(273.15+H$44)</f>
        <v>17.06689152256542</v>
      </c>
      <c r="I49" s="32">
        <f t="shared" si="3"/>
        <v>16.632334178437432</v>
      </c>
      <c r="J49" s="32">
        <f t="shared" si="3"/>
        <v>16.045214807015263</v>
      </c>
      <c r="K49" s="32">
        <f t="shared" si="3"/>
        <v>15.715150700449025</v>
      </c>
      <c r="L49" s="32">
        <f t="shared" si="3"/>
        <v>15.481399982974214</v>
      </c>
      <c r="M49" s="32">
        <f t="shared" si="3"/>
        <v>14.985897567976123</v>
      </c>
      <c r="N49" s="32">
        <f t="shared" si="3"/>
        <v>15.100740535520856</v>
      </c>
      <c r="O49" s="32">
        <f t="shared" si="3"/>
        <v>16.359172397374085</v>
      </c>
      <c r="P49" s="32">
        <f t="shared" si="3"/>
        <v>16.452253381378586</v>
      </c>
      <c r="Q49" s="32">
        <f t="shared" si="3"/>
        <v>17.683335785076963</v>
      </c>
      <c r="R49" s="32">
        <f t="shared" si="3"/>
        <v>17.807458406921949</v>
      </c>
      <c r="S49" s="32">
        <f t="shared" si="3"/>
        <v>18.593961730261999</v>
      </c>
      <c r="T49" s="32">
        <f t="shared" si="3"/>
        <v>19.236068076959594</v>
      </c>
      <c r="U49" s="32">
        <f t="shared" si="3"/>
        <v>19.255795854381834</v>
      </c>
      <c r="V49" s="32">
        <f t="shared" si="3"/>
        <v>19.430528709832817</v>
      </c>
      <c r="W49" s="32">
        <f t="shared" si="3"/>
        <v>19.536531664930479</v>
      </c>
      <c r="X49" s="32">
        <f t="shared" si="3"/>
        <v>20.737229816528497</v>
      </c>
      <c r="Y49" s="32">
        <f t="shared" si="3"/>
        <v>20.121948103344113</v>
      </c>
      <c r="Z49" s="32">
        <f t="shared" si="3"/>
        <v>19.273795804300661</v>
      </c>
      <c r="AA49" s="32">
        <f t="shared" si="3"/>
        <v>19.851776224854756</v>
      </c>
      <c r="AB49" s="32">
        <f t="shared" si="3"/>
        <v>18.932624046574208</v>
      </c>
      <c r="AC49" s="32">
        <f t="shared" si="3"/>
        <v>18.806777481528666</v>
      </c>
      <c r="AD49" s="32">
        <f t="shared" si="3"/>
        <v>18.406993318444631</v>
      </c>
      <c r="AE49" s="33">
        <f t="shared" si="3"/>
        <v>17.479730986970019</v>
      </c>
      <c r="AF49" s="34">
        <f>MAX(H49:AE49)</f>
        <v>20.737229816528497</v>
      </c>
    </row>
    <row r="50" spans="2:32" s="22" customFormat="1" ht="16.5" x14ac:dyDescent="0.3">
      <c r="B50" s="6"/>
      <c r="C50" s="2"/>
      <c r="D50" s="2"/>
      <c r="E50" s="2" t="s">
        <v>50</v>
      </c>
      <c r="F50" s="36"/>
      <c r="G50" s="30" t="s">
        <v>41</v>
      </c>
      <c r="H50" s="51">
        <f t="shared" ref="H50:AE50" si="4">H$49-H$42</f>
        <v>3.428148907228886</v>
      </c>
      <c r="I50" s="52">
        <f t="shared" si="4"/>
        <v>3.0470441991662636</v>
      </c>
      <c r="J50" s="52">
        <f t="shared" si="4"/>
        <v>2.7716020670852668</v>
      </c>
      <c r="K50" s="52">
        <f t="shared" si="4"/>
        <v>2.3545882137027672</v>
      </c>
      <c r="L50" s="52">
        <f t="shared" si="4"/>
        <v>1.896107200534896</v>
      </c>
      <c r="M50" s="52">
        <f t="shared" si="4"/>
        <v>1.6150575705760932</v>
      </c>
      <c r="N50" s="52">
        <f t="shared" si="4"/>
        <v>1.5467383463756192</v>
      </c>
      <c r="O50" s="52">
        <f t="shared" si="4"/>
        <v>1.9708743347242699</v>
      </c>
      <c r="P50" s="52">
        <f t="shared" si="4"/>
        <v>2.5258400148946549</v>
      </c>
      <c r="Q50" s="52">
        <f t="shared" si="4"/>
        <v>3.0703972686449639</v>
      </c>
      <c r="R50" s="52">
        <f t="shared" si="4"/>
        <v>3.6452062677335491</v>
      </c>
      <c r="S50" s="52">
        <f t="shared" si="4"/>
        <v>4.5081329246342232</v>
      </c>
      <c r="T50" s="52">
        <f t="shared" si="4"/>
        <v>5.4591621906121617</v>
      </c>
      <c r="U50" s="52">
        <f t="shared" si="4"/>
        <v>6.0722774532894643</v>
      </c>
      <c r="V50" s="52">
        <f t="shared" si="4"/>
        <v>6.5960377963924088</v>
      </c>
      <c r="W50" s="52">
        <f t="shared" si="4"/>
        <v>7.1335144097372449</v>
      </c>
      <c r="X50" s="52">
        <f t="shared" si="4"/>
        <v>7.8029988561097987</v>
      </c>
      <c r="Y50" s="52">
        <f t="shared" si="4"/>
        <v>8.0221836565008182</v>
      </c>
      <c r="Z50" s="52">
        <f t="shared" si="4"/>
        <v>7.7875427314027394</v>
      </c>
      <c r="AA50" s="52">
        <f t="shared" si="4"/>
        <v>7.5733677676190467</v>
      </c>
      <c r="AB50" s="52">
        <f t="shared" si="4"/>
        <v>6.8111604061027116</v>
      </c>
      <c r="AC50" s="52">
        <f t="shared" si="4"/>
        <v>5.6706579154764629</v>
      </c>
      <c r="AD50" s="52">
        <f t="shared" si="4"/>
        <v>4.6086304068092598</v>
      </c>
      <c r="AE50" s="53">
        <f t="shared" si="4"/>
        <v>3.8324698346612003</v>
      </c>
      <c r="AF50" s="54">
        <f>MAX(H50:AE50)</f>
        <v>8.0221836565008182</v>
      </c>
    </row>
    <row r="51" spans="2:32" ht="16.5" x14ac:dyDescent="0.3">
      <c r="E51" s="2"/>
      <c r="F51" s="11"/>
      <c r="G51" s="27"/>
      <c r="H51" s="42"/>
      <c r="I51" s="43"/>
      <c r="J51" s="43"/>
      <c r="K51" s="43"/>
      <c r="L51" s="43"/>
      <c r="M51" s="43"/>
      <c r="N51" s="43"/>
      <c r="O51" s="43"/>
      <c r="P51" s="43"/>
      <c r="Q51" s="43"/>
      <c r="R51" s="43"/>
      <c r="S51" s="43"/>
      <c r="T51" s="43"/>
      <c r="U51" s="43"/>
      <c r="V51" s="43"/>
      <c r="W51" s="43"/>
      <c r="X51" s="43"/>
      <c r="Y51" s="43"/>
      <c r="Z51" s="43"/>
      <c r="AA51" s="43"/>
      <c r="AB51" s="43"/>
      <c r="AC51" s="43"/>
      <c r="AD51" s="43"/>
      <c r="AE51" s="44"/>
      <c r="AF51" s="45"/>
    </row>
    <row r="52" spans="2:32" ht="16.5" x14ac:dyDescent="0.3">
      <c r="E52" s="2"/>
      <c r="F52" s="11"/>
      <c r="G52" s="27"/>
      <c r="H52" s="42"/>
      <c r="I52" s="43"/>
      <c r="J52" s="43"/>
      <c r="K52" s="43"/>
      <c r="L52" s="43"/>
      <c r="M52" s="43"/>
      <c r="N52" s="43"/>
      <c r="O52" s="43"/>
      <c r="P52" s="43"/>
      <c r="Q52" s="43"/>
      <c r="R52" s="43"/>
      <c r="S52" s="43"/>
      <c r="T52" s="43"/>
      <c r="U52" s="43"/>
      <c r="V52" s="43"/>
      <c r="W52" s="43"/>
      <c r="X52" s="43"/>
      <c r="Y52" s="43"/>
      <c r="Z52" s="43"/>
      <c r="AA52" s="43"/>
      <c r="AB52" s="43"/>
      <c r="AC52" s="43"/>
      <c r="AD52" s="43"/>
      <c r="AE52" s="44"/>
      <c r="AF52" s="45"/>
    </row>
    <row r="53" spans="2:32" x14ac:dyDescent="0.25">
      <c r="B53" s="6">
        <v>6</v>
      </c>
      <c r="C53" s="2" t="s">
        <v>51</v>
      </c>
      <c r="F53" s="22"/>
      <c r="G53" s="55"/>
      <c r="H53" s="56"/>
      <c r="AE53" s="57"/>
      <c r="AF53" s="45"/>
    </row>
    <row r="54" spans="2:32" ht="16.5" x14ac:dyDescent="0.3">
      <c r="E54" s="11" t="s">
        <v>52</v>
      </c>
      <c r="F54" s="11"/>
      <c r="G54" s="37" t="s">
        <v>37</v>
      </c>
      <c r="H54" s="58">
        <f t="shared" ref="H54:AE54" si="5">H40-((H40-H44)*$F$35)</f>
        <v>21.03588144535161</v>
      </c>
      <c r="I54" s="59">
        <f t="shared" si="5"/>
        <v>20.484692556192748</v>
      </c>
      <c r="J54" s="59">
        <f t="shared" si="5"/>
        <v>19.79735996908973</v>
      </c>
      <c r="K54" s="59">
        <f t="shared" si="5"/>
        <v>19.316564429434575</v>
      </c>
      <c r="L54" s="59">
        <f t="shared" si="5"/>
        <v>18.914595818121288</v>
      </c>
      <c r="M54" s="59">
        <f t="shared" si="5"/>
        <v>18.277566337239062</v>
      </c>
      <c r="N54" s="59">
        <f t="shared" si="5"/>
        <v>18.379960807663799</v>
      </c>
      <c r="O54" s="59">
        <f t="shared" si="5"/>
        <v>19.859844120850209</v>
      </c>
      <c r="P54" s="59">
        <f t="shared" si="5"/>
        <v>20.136825188364</v>
      </c>
      <c r="Q54" s="59">
        <f t="shared" si="5"/>
        <v>21.521002668382739</v>
      </c>
      <c r="R54" s="59">
        <f t="shared" si="5"/>
        <v>21.816907455683253</v>
      </c>
      <c r="S54" s="59">
        <f t="shared" si="5"/>
        <v>22.811496375193737</v>
      </c>
      <c r="T54" s="59">
        <f t="shared" si="5"/>
        <v>23.680992221772861</v>
      </c>
      <c r="U54" s="59">
        <f t="shared" si="5"/>
        <v>23.895200834243738</v>
      </c>
      <c r="V54" s="59">
        <f t="shared" si="5"/>
        <v>24.220502549366326</v>
      </c>
      <c r="W54" s="59">
        <f t="shared" si="5"/>
        <v>24.496043476523056</v>
      </c>
      <c r="X54" s="59">
        <f t="shared" si="5"/>
        <v>25.727830795370707</v>
      </c>
      <c r="Y54" s="59">
        <f t="shared" si="5"/>
        <v>25.306953629902942</v>
      </c>
      <c r="Z54" s="59">
        <f t="shared" si="5"/>
        <v>24.508154023085979</v>
      </c>
      <c r="AA54" s="59">
        <f t="shared" si="5"/>
        <v>24.918619943315377</v>
      </c>
      <c r="AB54" s="59">
        <f t="shared" si="5"/>
        <v>23.860837664812991</v>
      </c>
      <c r="AC54" s="59">
        <f t="shared" si="5"/>
        <v>23.368636792694357</v>
      </c>
      <c r="AD54" s="59">
        <f t="shared" si="5"/>
        <v>22.672151451125789</v>
      </c>
      <c r="AE54" s="60">
        <f t="shared" si="5"/>
        <v>21.562415151566931</v>
      </c>
      <c r="AF54" s="61">
        <f>MAX(H54:AE54)</f>
        <v>25.727830795370707</v>
      </c>
    </row>
    <row r="55" spans="2:32" ht="16.5" x14ac:dyDescent="0.3">
      <c r="E55" s="11" t="s">
        <v>53</v>
      </c>
      <c r="F55" s="62" t="str">
        <f>_xlfn.CONCAT("(", _xlfn.VALUETOTEXT(F35*100),"% RH)")</f>
        <v>(80% RH)</v>
      </c>
      <c r="G55" s="30" t="s">
        <v>41</v>
      </c>
      <c r="H55" s="31">
        <f t="shared" ref="H55:AE55" si="6">IF(H41&lt;$F$35,$F$35*H49,0)</f>
        <v>13.653513218052337</v>
      </c>
      <c r="I55" s="32">
        <f t="shared" si="6"/>
        <v>13.305867342749947</v>
      </c>
      <c r="J55" s="32">
        <f t="shared" si="6"/>
        <v>12.836171845612212</v>
      </c>
      <c r="K55" s="32">
        <f t="shared" si="6"/>
        <v>12.57212056035922</v>
      </c>
      <c r="L55" s="32">
        <f t="shared" si="6"/>
        <v>12.385119986379372</v>
      </c>
      <c r="M55" s="32">
        <f t="shared" si="6"/>
        <v>11.988718054380898</v>
      </c>
      <c r="N55" s="32">
        <f t="shared" si="6"/>
        <v>12.080592428416686</v>
      </c>
      <c r="O55" s="32">
        <f t="shared" si="6"/>
        <v>13.087337917899269</v>
      </c>
      <c r="P55" s="32">
        <f t="shared" si="6"/>
        <v>13.16180270510287</v>
      </c>
      <c r="Q55" s="32">
        <f t="shared" si="6"/>
        <v>14.146668628061571</v>
      </c>
      <c r="R55" s="32">
        <f t="shared" si="6"/>
        <v>14.24596672553756</v>
      </c>
      <c r="S55" s="32">
        <f t="shared" si="6"/>
        <v>14.875169384209599</v>
      </c>
      <c r="T55" s="32">
        <f t="shared" si="6"/>
        <v>15.388854461567675</v>
      </c>
      <c r="U55" s="32">
        <f t="shared" si="6"/>
        <v>15.404636683505467</v>
      </c>
      <c r="V55" s="32">
        <f t="shared" si="6"/>
        <v>15.544422967866254</v>
      </c>
      <c r="W55" s="32">
        <f t="shared" si="6"/>
        <v>15.629225331944383</v>
      </c>
      <c r="X55" s="32">
        <f t="shared" si="6"/>
        <v>16.589783853222798</v>
      </c>
      <c r="Y55" s="32">
        <f t="shared" si="6"/>
        <v>16.097558482675293</v>
      </c>
      <c r="Z55" s="32">
        <f t="shared" si="6"/>
        <v>15.419036643440529</v>
      </c>
      <c r="AA55" s="32">
        <f t="shared" si="6"/>
        <v>15.881420979883806</v>
      </c>
      <c r="AB55" s="32">
        <f t="shared" si="6"/>
        <v>15.146099237259367</v>
      </c>
      <c r="AC55" s="32">
        <f t="shared" si="6"/>
        <v>15.045421985222934</v>
      </c>
      <c r="AD55" s="32">
        <f t="shared" si="6"/>
        <v>14.725594654755705</v>
      </c>
      <c r="AE55" s="33">
        <f t="shared" si="6"/>
        <v>13.983784789576015</v>
      </c>
      <c r="AF55" s="34">
        <f>MAX(H55:AE55)</f>
        <v>16.589783853222798</v>
      </c>
    </row>
    <row r="56" spans="2:32" s="22" customFormat="1" ht="16.5" x14ac:dyDescent="0.3">
      <c r="B56" s="6"/>
      <c r="C56" s="2"/>
      <c r="D56" s="2"/>
      <c r="E56" s="36" t="s">
        <v>54</v>
      </c>
      <c r="F56" s="36"/>
      <c r="G56" s="30" t="s">
        <v>41</v>
      </c>
      <c r="H56" s="51">
        <f t="shared" ref="H56:AE56" si="7">IF(H55=0,0,H$55-H$42)</f>
        <v>1.4770602715802994E-2</v>
      </c>
      <c r="I56" s="52">
        <f t="shared" si="7"/>
        <v>-0.27942263652122179</v>
      </c>
      <c r="J56" s="52">
        <f t="shared" si="7"/>
        <v>-0.43744089431778477</v>
      </c>
      <c r="K56" s="52">
        <f t="shared" si="7"/>
        <v>-0.78844192638703703</v>
      </c>
      <c r="L56" s="52">
        <f t="shared" si="7"/>
        <v>-1.2001727960599453</v>
      </c>
      <c r="M56" s="52">
        <f t="shared" si="7"/>
        <v>-1.3821219430191309</v>
      </c>
      <c r="N56" s="52">
        <f t="shared" si="7"/>
        <v>-1.4734097607285506</v>
      </c>
      <c r="O56" s="52">
        <f t="shared" si="7"/>
        <v>-1.3009601447505457</v>
      </c>
      <c r="P56" s="52">
        <f t="shared" si="7"/>
        <v>-0.76461066138106126</v>
      </c>
      <c r="Q56" s="52">
        <f t="shared" si="7"/>
        <v>-0.46626988837042838</v>
      </c>
      <c r="R56" s="52">
        <f t="shared" si="7"/>
        <v>8.3714586349159958E-2</v>
      </c>
      <c r="S56" s="52">
        <f t="shared" si="7"/>
        <v>0.78934057858182349</v>
      </c>
      <c r="T56" s="52">
        <f t="shared" si="7"/>
        <v>1.6119485752202429</v>
      </c>
      <c r="U56" s="52">
        <f t="shared" si="7"/>
        <v>2.2211182824130979</v>
      </c>
      <c r="V56" s="52">
        <f t="shared" si="7"/>
        <v>2.7099320544258454</v>
      </c>
      <c r="W56" s="52">
        <f t="shared" si="7"/>
        <v>3.2262080767511492</v>
      </c>
      <c r="X56" s="52">
        <f t="shared" si="7"/>
        <v>3.6555528928040992</v>
      </c>
      <c r="Y56" s="52">
        <f t="shared" si="7"/>
        <v>3.9977940358319977</v>
      </c>
      <c r="Z56" s="52">
        <f t="shared" si="7"/>
        <v>3.9327835705426075</v>
      </c>
      <c r="AA56" s="52">
        <f t="shared" si="7"/>
        <v>3.6030125226480969</v>
      </c>
      <c r="AB56" s="52">
        <f t="shared" si="7"/>
        <v>3.0246355967878706</v>
      </c>
      <c r="AC56" s="52">
        <f t="shared" si="7"/>
        <v>1.9093024191707304</v>
      </c>
      <c r="AD56" s="52">
        <f t="shared" si="7"/>
        <v>0.92723174312033407</v>
      </c>
      <c r="AE56" s="53">
        <f t="shared" si="7"/>
        <v>0.33652363726719692</v>
      </c>
      <c r="AF56" s="54">
        <f>MAX(H56:AE56)</f>
        <v>3.9977940358319977</v>
      </c>
    </row>
    <row r="57" spans="2:32" ht="16.5" x14ac:dyDescent="0.3">
      <c r="E57" s="2"/>
      <c r="F57" s="11"/>
      <c r="G57" s="27"/>
      <c r="H57" s="42"/>
      <c r="I57" s="43"/>
      <c r="J57" s="43"/>
      <c r="K57" s="43"/>
      <c r="L57" s="43"/>
      <c r="M57" s="43"/>
      <c r="N57" s="43"/>
      <c r="O57" s="43"/>
      <c r="P57" s="43"/>
      <c r="Q57" s="43"/>
      <c r="R57" s="43"/>
      <c r="S57" s="43"/>
      <c r="T57" s="43"/>
      <c r="U57" s="43"/>
      <c r="V57" s="43"/>
      <c r="W57" s="43"/>
      <c r="X57" s="43"/>
      <c r="Y57" s="43"/>
      <c r="Z57" s="43"/>
      <c r="AA57" s="43"/>
      <c r="AB57" s="43"/>
      <c r="AC57" s="43"/>
      <c r="AD57" s="43"/>
      <c r="AE57" s="44"/>
      <c r="AF57" s="45"/>
    </row>
    <row r="58" spans="2:32" ht="16.5" x14ac:dyDescent="0.3">
      <c r="E58" s="2"/>
      <c r="F58" s="11"/>
      <c r="G58" s="27"/>
      <c r="H58" s="42"/>
      <c r="I58" s="43"/>
      <c r="J58" s="43"/>
      <c r="K58" s="43"/>
      <c r="L58" s="43"/>
      <c r="M58" s="43"/>
      <c r="N58" s="43"/>
      <c r="O58" s="43"/>
      <c r="P58" s="43"/>
      <c r="Q58" s="43"/>
      <c r="R58" s="43"/>
      <c r="S58" s="43"/>
      <c r="T58" s="43"/>
      <c r="U58" s="43"/>
      <c r="V58" s="43"/>
      <c r="W58" s="43"/>
      <c r="X58" s="43"/>
      <c r="Y58" s="43"/>
      <c r="Z58" s="43"/>
      <c r="AA58" s="43"/>
      <c r="AB58" s="43"/>
      <c r="AC58" s="43"/>
      <c r="AD58" s="43"/>
      <c r="AE58" s="44"/>
      <c r="AF58" s="45"/>
    </row>
    <row r="59" spans="2:32" ht="16.5" x14ac:dyDescent="0.3">
      <c r="B59" s="6">
        <v>7</v>
      </c>
      <c r="C59" s="2" t="s">
        <v>55</v>
      </c>
      <c r="F59" s="36"/>
      <c r="G59" s="63"/>
      <c r="H59" s="56"/>
      <c r="J59" s="64"/>
      <c r="AE59" s="57"/>
      <c r="AF59" s="26"/>
    </row>
    <row r="60" spans="2:32" ht="16.5" x14ac:dyDescent="0.3">
      <c r="E60" s="11" t="s">
        <v>56</v>
      </c>
      <c r="F60" s="65">
        <v>0.92</v>
      </c>
      <c r="G60" s="37" t="s">
        <v>37</v>
      </c>
      <c r="H60" s="58">
        <f t="shared" ref="H60:AE60" si="8">H40-((H40-H54)*$F$60)</f>
        <v>21.43301092972348</v>
      </c>
      <c r="I60" s="59">
        <f t="shared" si="8"/>
        <v>20.845917151697329</v>
      </c>
      <c r="J60" s="59">
        <f t="shared" si="8"/>
        <v>20.133571171562551</v>
      </c>
      <c r="K60" s="59">
        <f t="shared" si="8"/>
        <v>19.611239275079807</v>
      </c>
      <c r="L60" s="59">
        <f t="shared" si="8"/>
        <v>19.161428152671586</v>
      </c>
      <c r="M60" s="59">
        <f t="shared" si="8"/>
        <v>18.495361030259936</v>
      </c>
      <c r="N60" s="59">
        <f t="shared" si="8"/>
        <v>18.589563943050695</v>
      </c>
      <c r="O60" s="59">
        <f t="shared" si="8"/>
        <v>20.111056591182191</v>
      </c>
      <c r="P60" s="59">
        <f t="shared" si="8"/>
        <v>20.44587917329488</v>
      </c>
      <c r="Q60" s="59">
        <f t="shared" si="8"/>
        <v>21.879322454912121</v>
      </c>
      <c r="R60" s="59">
        <f t="shared" si="8"/>
        <v>22.231554859228595</v>
      </c>
      <c r="S60" s="59">
        <f t="shared" si="8"/>
        <v>23.306576665178238</v>
      </c>
      <c r="T60" s="59">
        <f t="shared" si="8"/>
        <v>24.266512844031034</v>
      </c>
      <c r="U60" s="59">
        <f t="shared" si="8"/>
        <v>24.543584767504239</v>
      </c>
      <c r="V60" s="59">
        <f t="shared" si="8"/>
        <v>24.92286234541702</v>
      </c>
      <c r="W60" s="59">
        <f t="shared" si="8"/>
        <v>25.256359998401209</v>
      </c>
      <c r="X60" s="59">
        <f t="shared" si="8"/>
        <v>26.549604331741051</v>
      </c>
      <c r="Y60" s="59">
        <f t="shared" si="8"/>
        <v>26.162397339510704</v>
      </c>
      <c r="Z60" s="59">
        <f t="shared" si="8"/>
        <v>25.3475017012391</v>
      </c>
      <c r="AA60" s="59">
        <f t="shared" si="8"/>
        <v>25.725130347850147</v>
      </c>
      <c r="AB60" s="59">
        <f t="shared" si="8"/>
        <v>24.591970651627953</v>
      </c>
      <c r="AC60" s="59">
        <f t="shared" si="8"/>
        <v>23.979145849278808</v>
      </c>
      <c r="AD60" s="59">
        <f t="shared" si="8"/>
        <v>23.178379335035725</v>
      </c>
      <c r="AE60" s="60">
        <f t="shared" si="8"/>
        <v>21.997421939441576</v>
      </c>
      <c r="AF60" s="61">
        <f>MAX(H60:AE60)</f>
        <v>26.549604331741051</v>
      </c>
    </row>
    <row r="61" spans="2:32" s="22" customFormat="1" ht="16.5" x14ac:dyDescent="0.3">
      <c r="B61" s="6"/>
      <c r="C61" s="2"/>
      <c r="D61" s="2"/>
      <c r="E61" s="36" t="s">
        <v>57</v>
      </c>
      <c r="F61" s="20">
        <v>0.2</v>
      </c>
      <c r="G61" s="37" t="s">
        <v>37</v>
      </c>
      <c r="H61" s="38">
        <f t="shared" ref="H61:AE61" si="9">H40-((H40-H60)*(1-$F$61))</f>
        <v>22.346408743778785</v>
      </c>
      <c r="I61" s="39">
        <f t="shared" si="9"/>
        <v>21.676733721357863</v>
      </c>
      <c r="J61" s="39">
        <f t="shared" si="9"/>
        <v>20.906856937250041</v>
      </c>
      <c r="K61" s="39">
        <f t="shared" si="9"/>
        <v>20.288991420063844</v>
      </c>
      <c r="L61" s="39">
        <f t="shared" si="9"/>
        <v>19.72914252213727</v>
      </c>
      <c r="M61" s="39">
        <f t="shared" si="9"/>
        <v>18.996288824207948</v>
      </c>
      <c r="N61" s="39">
        <f t="shared" si="9"/>
        <v>19.071651154440556</v>
      </c>
      <c r="O61" s="39">
        <f t="shared" si="9"/>
        <v>20.688845272945752</v>
      </c>
      <c r="P61" s="39">
        <f t="shared" si="9"/>
        <v>21.156703338635904</v>
      </c>
      <c r="Q61" s="39">
        <f t="shared" si="9"/>
        <v>22.703457963929697</v>
      </c>
      <c r="R61" s="39">
        <f t="shared" si="9"/>
        <v>23.185243887382875</v>
      </c>
      <c r="S61" s="39">
        <f t="shared" si="9"/>
        <v>24.445261332142589</v>
      </c>
      <c r="T61" s="39">
        <f t="shared" si="9"/>
        <v>25.613210275224827</v>
      </c>
      <c r="U61" s="39">
        <f t="shared" si="9"/>
        <v>26.034867814003391</v>
      </c>
      <c r="V61" s="39">
        <f t="shared" si="9"/>
        <v>26.538289876333614</v>
      </c>
      <c r="W61" s="39">
        <f t="shared" si="9"/>
        <v>27.005087998720967</v>
      </c>
      <c r="X61" s="39">
        <f t="shared" si="9"/>
        <v>28.439683465392839</v>
      </c>
      <c r="Y61" s="39">
        <f t="shared" si="9"/>
        <v>28.129917871608562</v>
      </c>
      <c r="Z61" s="39">
        <f t="shared" si="9"/>
        <v>27.278001360991279</v>
      </c>
      <c r="AA61" s="39">
        <f t="shared" si="9"/>
        <v>27.580104278280118</v>
      </c>
      <c r="AB61" s="39">
        <f t="shared" si="9"/>
        <v>26.273576521302363</v>
      </c>
      <c r="AC61" s="39">
        <f t="shared" si="9"/>
        <v>25.383316679423046</v>
      </c>
      <c r="AD61" s="39">
        <f t="shared" si="9"/>
        <v>24.342703468028581</v>
      </c>
      <c r="AE61" s="40">
        <f t="shared" si="9"/>
        <v>22.99793755155326</v>
      </c>
      <c r="AF61" s="41">
        <f>MAX(H61:AE61)</f>
        <v>28.439683465392839</v>
      </c>
    </row>
    <row r="62" spans="2:32" x14ac:dyDescent="0.25">
      <c r="H62" s="56"/>
      <c r="AE62" s="57"/>
      <c r="AF62" s="26"/>
    </row>
    <row r="63" spans="2:32" x14ac:dyDescent="0.25">
      <c r="H63" s="56"/>
      <c r="AE63" s="57"/>
      <c r="AF63" s="26"/>
    </row>
    <row r="64" spans="2:32" x14ac:dyDescent="0.25">
      <c r="B64" s="6">
        <v>8</v>
      </c>
      <c r="C64" s="2" t="s">
        <v>58</v>
      </c>
      <c r="H64" s="56"/>
      <c r="AE64" s="57"/>
      <c r="AF64" s="26"/>
    </row>
    <row r="65" spans="2:33" x14ac:dyDescent="0.25">
      <c r="D65" s="2" t="s">
        <v>59</v>
      </c>
      <c r="H65" s="56"/>
      <c r="AE65" s="57"/>
      <c r="AF65" s="26"/>
    </row>
    <row r="66" spans="2:33" ht="16.5" x14ac:dyDescent="0.3">
      <c r="E66" s="3" t="s">
        <v>60</v>
      </c>
      <c r="G66" s="30" t="s">
        <v>61</v>
      </c>
      <c r="H66" s="31">
        <f t="shared" ref="H66:AE66" si="10">(H56*$F$27)/1000</f>
        <v>7.3853013579014968E-4</v>
      </c>
      <c r="I66" s="32">
        <f t="shared" si="10"/>
        <v>-1.3971131826061089E-2</v>
      </c>
      <c r="J66" s="32">
        <f t="shared" si="10"/>
        <v>-2.1872044715889237E-2</v>
      </c>
      <c r="K66" s="32">
        <f t="shared" si="10"/>
        <v>-3.9422096319351854E-2</v>
      </c>
      <c r="L66" s="32">
        <f t="shared" si="10"/>
        <v>-6.0008639802997268E-2</v>
      </c>
      <c r="M66" s="32">
        <f t="shared" si="10"/>
        <v>-6.9106097150956544E-2</v>
      </c>
      <c r="N66" s="32">
        <f t="shared" si="10"/>
        <v>-7.3670488036427534E-2</v>
      </c>
      <c r="O66" s="32">
        <f t="shared" si="10"/>
        <v>-6.5048007237527281E-2</v>
      </c>
      <c r="P66" s="32">
        <f t="shared" si="10"/>
        <v>-3.8230533069053066E-2</v>
      </c>
      <c r="Q66" s="32">
        <f t="shared" si="10"/>
        <v>-2.3313494418521419E-2</v>
      </c>
      <c r="R66" s="32">
        <f t="shared" si="10"/>
        <v>4.1857293174579983E-3</v>
      </c>
      <c r="S66" s="32">
        <f t="shared" si="10"/>
        <v>3.9467028929091173E-2</v>
      </c>
      <c r="T66" s="32">
        <f t="shared" si="10"/>
        <v>8.0597428761012141E-2</v>
      </c>
      <c r="U66" s="32">
        <f t="shared" si="10"/>
        <v>0.11105591412065491</v>
      </c>
      <c r="V66" s="32">
        <f t="shared" si="10"/>
        <v>0.13549660272129227</v>
      </c>
      <c r="W66" s="32">
        <f t="shared" si="10"/>
        <v>0.16131040383755746</v>
      </c>
      <c r="X66" s="32">
        <f t="shared" si="10"/>
        <v>0.18277764464020496</v>
      </c>
      <c r="Y66" s="32">
        <f t="shared" si="10"/>
        <v>0.1998897017915999</v>
      </c>
      <c r="Z66" s="32">
        <f t="shared" si="10"/>
        <v>0.19663917852713039</v>
      </c>
      <c r="AA66" s="32">
        <f t="shared" si="10"/>
        <v>0.18015062613240485</v>
      </c>
      <c r="AB66" s="32">
        <f t="shared" si="10"/>
        <v>0.15123177983939354</v>
      </c>
      <c r="AC66" s="32">
        <f t="shared" si="10"/>
        <v>9.5465120958536515E-2</v>
      </c>
      <c r="AD66" s="32">
        <f t="shared" si="10"/>
        <v>4.6361587156016702E-2</v>
      </c>
      <c r="AE66" s="33">
        <f t="shared" si="10"/>
        <v>1.6826181863359845E-2</v>
      </c>
      <c r="AF66" s="34">
        <f>MAX(H66:AE66)</f>
        <v>0.1998897017915999</v>
      </c>
      <c r="AG66" s="14" t="str">
        <f>IF(AF66&gt;$F$33," Maximum flow rate exceeded",IF(AF66&gt;0.8*$F$33," The maximum flow may be unachievable"," OK"))</f>
        <v xml:space="preserve"> OK</v>
      </c>
    </row>
    <row r="67" spans="2:33" ht="16.5" x14ac:dyDescent="0.3">
      <c r="E67" s="3" t="s">
        <v>62</v>
      </c>
      <c r="G67" s="37" t="s">
        <v>37</v>
      </c>
      <c r="H67" s="58">
        <f t="shared" ref="H67:AE67" si="11">(IF((1-$H$27)&lt;0,0,((1-$H$27)*H40))+IF(($H$27)&gt;1,1*H61,($H$27*H61)))</f>
        <v>25.086602185944695</v>
      </c>
      <c r="I67" s="59">
        <f t="shared" si="11"/>
        <v>24.169183430339466</v>
      </c>
      <c r="J67" s="59">
        <f t="shared" si="11"/>
        <v>23.22671423431251</v>
      </c>
      <c r="K67" s="59">
        <f t="shared" si="11"/>
        <v>22.322247855015959</v>
      </c>
      <c r="L67" s="59">
        <f t="shared" si="11"/>
        <v>21.432285630534317</v>
      </c>
      <c r="M67" s="59">
        <f t="shared" si="11"/>
        <v>20.499072206051988</v>
      </c>
      <c r="N67" s="59">
        <f t="shared" si="11"/>
        <v>20.51791278861014</v>
      </c>
      <c r="O67" s="59">
        <f t="shared" si="11"/>
        <v>22.422211318236439</v>
      </c>
      <c r="P67" s="59">
        <f t="shared" si="11"/>
        <v>23.289175834658977</v>
      </c>
      <c r="Q67" s="59">
        <f t="shared" si="11"/>
        <v>25.175864490982423</v>
      </c>
      <c r="R67" s="59">
        <f t="shared" si="11"/>
        <v>26.04631097184572</v>
      </c>
      <c r="S67" s="59">
        <f t="shared" si="11"/>
        <v>27.861315333035648</v>
      </c>
      <c r="T67" s="59">
        <f t="shared" si="11"/>
        <v>29.653302568806208</v>
      </c>
      <c r="U67" s="59">
        <f t="shared" si="11"/>
        <v>30.508716953500848</v>
      </c>
      <c r="V67" s="59">
        <f t="shared" si="11"/>
        <v>31.384572469083402</v>
      </c>
      <c r="W67" s="59">
        <f t="shared" si="11"/>
        <v>32.251271999680242</v>
      </c>
      <c r="X67" s="59">
        <f t="shared" si="11"/>
        <v>34.109920866348212</v>
      </c>
      <c r="Y67" s="59">
        <f t="shared" si="11"/>
        <v>34.032479467902142</v>
      </c>
      <c r="Z67" s="59">
        <f t="shared" si="11"/>
        <v>33.069500340247821</v>
      </c>
      <c r="AA67" s="59">
        <f t="shared" si="11"/>
        <v>33.145026069570029</v>
      </c>
      <c r="AB67" s="59">
        <f t="shared" si="11"/>
        <v>31.31839413032559</v>
      </c>
      <c r="AC67" s="59">
        <f t="shared" si="11"/>
        <v>29.595829169855762</v>
      </c>
      <c r="AD67" s="59">
        <f t="shared" si="11"/>
        <v>27.835675867007147</v>
      </c>
      <c r="AE67" s="60">
        <f t="shared" si="11"/>
        <v>25.999484387888316</v>
      </c>
      <c r="AF67" s="61">
        <f>MAX(H67:AE67)</f>
        <v>34.109920866348212</v>
      </c>
      <c r="AG67" s="66"/>
    </row>
    <row r="68" spans="2:33" s="22" customFormat="1" ht="16.5" x14ac:dyDescent="0.3">
      <c r="B68" s="6"/>
      <c r="C68" s="2"/>
      <c r="D68" s="2"/>
      <c r="E68" s="67" t="s">
        <v>63</v>
      </c>
      <c r="F68" s="68"/>
      <c r="G68" s="69" t="s">
        <v>37</v>
      </c>
      <c r="H68" s="70">
        <f t="shared" ref="H68:AE68" si="12">-(H40-H67)</f>
        <v>-0.91339781405530474</v>
      </c>
      <c r="I68" s="71">
        <f t="shared" si="12"/>
        <v>-0.8308165696605343</v>
      </c>
      <c r="J68" s="71">
        <f t="shared" si="12"/>
        <v>-0.77328576568748986</v>
      </c>
      <c r="K68" s="71">
        <f t="shared" si="12"/>
        <v>-0.67775214498404068</v>
      </c>
      <c r="L68" s="71">
        <f t="shared" si="12"/>
        <v>-0.56771436946568343</v>
      </c>
      <c r="M68" s="71">
        <f t="shared" si="12"/>
        <v>-0.50092779394801212</v>
      </c>
      <c r="N68" s="71">
        <f t="shared" si="12"/>
        <v>-0.48208721138986022</v>
      </c>
      <c r="O68" s="71">
        <f t="shared" si="12"/>
        <v>-0.57778868176356113</v>
      </c>
      <c r="P68" s="71">
        <f t="shared" si="12"/>
        <v>-0.71082416534102322</v>
      </c>
      <c r="Q68" s="71">
        <f t="shared" si="12"/>
        <v>-0.8241355090175766</v>
      </c>
      <c r="R68" s="71">
        <f t="shared" si="12"/>
        <v>-0.95368902815427958</v>
      </c>
      <c r="S68" s="71">
        <f t="shared" si="12"/>
        <v>-1.1386846669643518</v>
      </c>
      <c r="T68" s="71">
        <f t="shared" si="12"/>
        <v>-1.3466974311937925</v>
      </c>
      <c r="U68" s="71">
        <f t="shared" si="12"/>
        <v>-1.4912830464991522</v>
      </c>
      <c r="V68" s="71">
        <f t="shared" si="12"/>
        <v>-1.6154275309165982</v>
      </c>
      <c r="W68" s="71">
        <f t="shared" si="12"/>
        <v>-1.7487280003197583</v>
      </c>
      <c r="X68" s="71">
        <f t="shared" si="12"/>
        <v>-1.8900791336517884</v>
      </c>
      <c r="Y68" s="71">
        <f t="shared" si="12"/>
        <v>-1.9675205320978577</v>
      </c>
      <c r="Z68" s="71">
        <f t="shared" si="12"/>
        <v>-1.9304996597521793</v>
      </c>
      <c r="AA68" s="71">
        <f t="shared" si="12"/>
        <v>-1.8549739304299706</v>
      </c>
      <c r="AB68" s="71">
        <f t="shared" si="12"/>
        <v>-1.6816058696744101</v>
      </c>
      <c r="AC68" s="71">
        <f t="shared" si="12"/>
        <v>-1.4041708301442384</v>
      </c>
      <c r="AD68" s="71">
        <f t="shared" si="12"/>
        <v>-1.1643241329928529</v>
      </c>
      <c r="AE68" s="72">
        <f t="shared" si="12"/>
        <v>-1.000515612111684</v>
      </c>
      <c r="AF68" s="73">
        <f>MIN(H68:AE68)</f>
        <v>-1.9675205320978577</v>
      </c>
      <c r="AG68" s="66"/>
    </row>
    <row r="69" spans="2:33" x14ac:dyDescent="0.25">
      <c r="H69" s="74"/>
      <c r="I69" s="75"/>
      <c r="J69" s="75"/>
      <c r="K69" s="75"/>
      <c r="L69" s="75"/>
      <c r="M69" s="75"/>
      <c r="N69" s="75"/>
      <c r="O69" s="75"/>
      <c r="P69" s="75"/>
      <c r="Q69" s="75"/>
      <c r="R69" s="75"/>
      <c r="S69" s="75"/>
      <c r="T69" s="75"/>
      <c r="U69" s="75"/>
      <c r="V69" s="75"/>
      <c r="W69" s="75"/>
      <c r="X69" s="75"/>
      <c r="Y69" s="75"/>
      <c r="Z69" s="75"/>
      <c r="AA69" s="75"/>
      <c r="AB69" s="75"/>
      <c r="AC69" s="75"/>
      <c r="AD69" s="75"/>
      <c r="AE69" s="76"/>
      <c r="AF69" s="26"/>
      <c r="AG69" s="66"/>
    </row>
    <row r="70" spans="2:33" x14ac:dyDescent="0.25">
      <c r="D70" s="2" t="s">
        <v>64</v>
      </c>
      <c r="H70" s="74"/>
      <c r="I70" s="75"/>
      <c r="J70" s="75"/>
      <c r="K70" s="75"/>
      <c r="L70" s="75"/>
      <c r="M70" s="75"/>
      <c r="N70" s="75"/>
      <c r="O70" s="75"/>
      <c r="P70" s="75"/>
      <c r="Q70" s="75"/>
      <c r="R70" s="75"/>
      <c r="S70" s="75"/>
      <c r="T70" s="75"/>
      <c r="U70" s="75"/>
      <c r="V70" s="75"/>
      <c r="W70" s="75"/>
      <c r="X70" s="75"/>
      <c r="Y70" s="75"/>
      <c r="Z70" s="75"/>
      <c r="AA70" s="75"/>
      <c r="AB70" s="75"/>
      <c r="AC70" s="75"/>
      <c r="AD70" s="75"/>
      <c r="AE70" s="76"/>
      <c r="AF70" s="26"/>
    </row>
    <row r="71" spans="2:33" ht="16.5" x14ac:dyDescent="0.3">
      <c r="E71" s="3" t="s">
        <v>60</v>
      </c>
      <c r="G71" s="30" t="s">
        <v>61</v>
      </c>
      <c r="H71" s="31">
        <f t="shared" ref="H71:AE71" si="13">(H56*$F$28)/1000</f>
        <v>1.4770602715802994E-3</v>
      </c>
      <c r="I71" s="32">
        <f t="shared" si="13"/>
        <v>-2.7942263652122178E-2</v>
      </c>
      <c r="J71" s="32">
        <f t="shared" si="13"/>
        <v>-4.3744089431778474E-2</v>
      </c>
      <c r="K71" s="32">
        <f t="shared" si="13"/>
        <v>-7.8844192638703708E-2</v>
      </c>
      <c r="L71" s="32">
        <f t="shared" si="13"/>
        <v>-0.12001727960599454</v>
      </c>
      <c r="M71" s="32">
        <f t="shared" si="13"/>
        <v>-0.13821219430191309</v>
      </c>
      <c r="N71" s="32">
        <f t="shared" si="13"/>
        <v>-0.14734097607285507</v>
      </c>
      <c r="O71" s="32">
        <f t="shared" si="13"/>
        <v>-0.13009601447505456</v>
      </c>
      <c r="P71" s="32">
        <f t="shared" si="13"/>
        <v>-7.6461066138106132E-2</v>
      </c>
      <c r="Q71" s="32">
        <f t="shared" si="13"/>
        <v>-4.6626988837042839E-2</v>
      </c>
      <c r="R71" s="32">
        <f t="shared" si="13"/>
        <v>8.3714586349159965E-3</v>
      </c>
      <c r="S71" s="32">
        <f t="shared" si="13"/>
        <v>7.8934057858182347E-2</v>
      </c>
      <c r="T71" s="32">
        <f t="shared" si="13"/>
        <v>0.16119485752202428</v>
      </c>
      <c r="U71" s="32">
        <f t="shared" si="13"/>
        <v>0.22211182824130982</v>
      </c>
      <c r="V71" s="32">
        <f t="shared" si="13"/>
        <v>0.27099320544258454</v>
      </c>
      <c r="W71" s="32">
        <f t="shared" si="13"/>
        <v>0.32262080767511492</v>
      </c>
      <c r="X71" s="32">
        <f t="shared" si="13"/>
        <v>0.36555528928040992</v>
      </c>
      <c r="Y71" s="32">
        <f t="shared" si="13"/>
        <v>0.3997794035831998</v>
      </c>
      <c r="Z71" s="32">
        <f t="shared" si="13"/>
        <v>0.39327835705426079</v>
      </c>
      <c r="AA71" s="32">
        <f t="shared" si="13"/>
        <v>0.36030125226480969</v>
      </c>
      <c r="AB71" s="32">
        <f t="shared" si="13"/>
        <v>0.30246355967878708</v>
      </c>
      <c r="AC71" s="32">
        <f t="shared" si="13"/>
        <v>0.19093024191707303</v>
      </c>
      <c r="AD71" s="32">
        <f t="shared" si="13"/>
        <v>9.2723174312033405E-2</v>
      </c>
      <c r="AE71" s="33">
        <f t="shared" si="13"/>
        <v>3.3652363726719689E-2</v>
      </c>
      <c r="AF71" s="34">
        <f>MAX(H71:AE71)</f>
        <v>0.3997794035831998</v>
      </c>
      <c r="AG71" s="14" t="str">
        <f>IF(AF71&gt;$F$33," Maximum flow rate exceeded",IF(AF71&gt;0.8*$F$33," The maximum flow may be unachievable"," OK"))</f>
        <v xml:space="preserve"> OK</v>
      </c>
    </row>
    <row r="72" spans="2:33" ht="16.5" x14ac:dyDescent="0.3">
      <c r="E72" s="3" t="s">
        <v>62</v>
      </c>
      <c r="G72" s="37" t="s">
        <v>37</v>
      </c>
      <c r="H72" s="58">
        <f t="shared" ref="H72:AE72" si="14">(IF((1-$H$28)&lt;0,0,((1-$H$28)*H40))+IF(($H$28)&gt;1,1*H61,($H$28*H61)))</f>
        <v>24.173204371889391</v>
      </c>
      <c r="I72" s="59">
        <f t="shared" si="14"/>
        <v>23.338366860678931</v>
      </c>
      <c r="J72" s="59">
        <f t="shared" si="14"/>
        <v>22.45342846862502</v>
      </c>
      <c r="K72" s="59">
        <f t="shared" si="14"/>
        <v>21.644495710031922</v>
      </c>
      <c r="L72" s="59">
        <f t="shared" si="14"/>
        <v>20.864571261068633</v>
      </c>
      <c r="M72" s="59">
        <f t="shared" si="14"/>
        <v>19.998144412103976</v>
      </c>
      <c r="N72" s="59">
        <f t="shared" si="14"/>
        <v>20.03582557722028</v>
      </c>
      <c r="O72" s="59">
        <f t="shared" si="14"/>
        <v>21.844422636472878</v>
      </c>
      <c r="P72" s="59">
        <f t="shared" si="14"/>
        <v>22.578351669317954</v>
      </c>
      <c r="Q72" s="59">
        <f t="shared" si="14"/>
        <v>24.351728981964847</v>
      </c>
      <c r="R72" s="59">
        <f t="shared" si="14"/>
        <v>25.092621943691437</v>
      </c>
      <c r="S72" s="59">
        <f t="shared" si="14"/>
        <v>26.722630666071296</v>
      </c>
      <c r="T72" s="59">
        <f t="shared" si="14"/>
        <v>28.306605137612415</v>
      </c>
      <c r="U72" s="59">
        <f t="shared" si="14"/>
        <v>29.017433907001696</v>
      </c>
      <c r="V72" s="59">
        <f t="shared" si="14"/>
        <v>29.769144938166807</v>
      </c>
      <c r="W72" s="59">
        <f t="shared" si="14"/>
        <v>30.502543999360483</v>
      </c>
      <c r="X72" s="59">
        <f t="shared" si="14"/>
        <v>32.219841732696423</v>
      </c>
      <c r="Y72" s="59">
        <f t="shared" si="14"/>
        <v>32.064958935804285</v>
      </c>
      <c r="Z72" s="59">
        <f t="shared" si="14"/>
        <v>31.139000680495641</v>
      </c>
      <c r="AA72" s="59">
        <f t="shared" si="14"/>
        <v>31.290052139140059</v>
      </c>
      <c r="AB72" s="59">
        <f t="shared" si="14"/>
        <v>29.63678826065118</v>
      </c>
      <c r="AC72" s="59">
        <f t="shared" si="14"/>
        <v>28.191658339711523</v>
      </c>
      <c r="AD72" s="59">
        <f t="shared" si="14"/>
        <v>26.671351734014291</v>
      </c>
      <c r="AE72" s="60">
        <f t="shared" si="14"/>
        <v>24.998968775776632</v>
      </c>
      <c r="AF72" s="61">
        <f>MAX(H72:AE72)</f>
        <v>32.219841732696423</v>
      </c>
    </row>
    <row r="73" spans="2:33" s="22" customFormat="1" ht="16.5" x14ac:dyDescent="0.3">
      <c r="B73" s="6"/>
      <c r="C73" s="2"/>
      <c r="D73" s="2"/>
      <c r="E73" s="67" t="s">
        <v>63</v>
      </c>
      <c r="F73" s="68"/>
      <c r="G73" s="69" t="s">
        <v>37</v>
      </c>
      <c r="H73" s="70">
        <f t="shared" ref="H73:AE73" si="15">-(H40-H72)</f>
        <v>-1.8267956281106095</v>
      </c>
      <c r="I73" s="71">
        <f t="shared" si="15"/>
        <v>-1.6616331393210686</v>
      </c>
      <c r="J73" s="71">
        <f t="shared" si="15"/>
        <v>-1.5465715313749797</v>
      </c>
      <c r="K73" s="71">
        <f t="shared" si="15"/>
        <v>-1.3555042899680778</v>
      </c>
      <c r="L73" s="71">
        <f t="shared" si="15"/>
        <v>-1.1354287389313669</v>
      </c>
      <c r="M73" s="71">
        <f t="shared" si="15"/>
        <v>-1.0018555878960242</v>
      </c>
      <c r="N73" s="71">
        <f t="shared" si="15"/>
        <v>-0.96417442277972043</v>
      </c>
      <c r="O73" s="71">
        <f t="shared" si="15"/>
        <v>-1.1555773635271223</v>
      </c>
      <c r="P73" s="71">
        <f t="shared" si="15"/>
        <v>-1.4216483306820464</v>
      </c>
      <c r="Q73" s="71">
        <f t="shared" si="15"/>
        <v>-1.6482710180351532</v>
      </c>
      <c r="R73" s="71">
        <f t="shared" si="15"/>
        <v>-1.9073780563085627</v>
      </c>
      <c r="S73" s="71">
        <f t="shared" si="15"/>
        <v>-2.2773693339287036</v>
      </c>
      <c r="T73" s="71">
        <f t="shared" si="15"/>
        <v>-2.693394862387585</v>
      </c>
      <c r="U73" s="71">
        <f t="shared" si="15"/>
        <v>-2.9825660929983044</v>
      </c>
      <c r="V73" s="71">
        <f t="shared" si="15"/>
        <v>-3.2308550618331928</v>
      </c>
      <c r="W73" s="71">
        <f t="shared" si="15"/>
        <v>-3.4974560006395166</v>
      </c>
      <c r="X73" s="71">
        <f t="shared" si="15"/>
        <v>-3.7801582673035767</v>
      </c>
      <c r="Y73" s="71">
        <f t="shared" si="15"/>
        <v>-3.9350410641957154</v>
      </c>
      <c r="Z73" s="71">
        <f t="shared" si="15"/>
        <v>-3.8609993195043586</v>
      </c>
      <c r="AA73" s="71">
        <f t="shared" si="15"/>
        <v>-3.7099478608599412</v>
      </c>
      <c r="AB73" s="71">
        <f t="shared" si="15"/>
        <v>-3.3632117393488201</v>
      </c>
      <c r="AC73" s="71">
        <f t="shared" si="15"/>
        <v>-2.8083416602884768</v>
      </c>
      <c r="AD73" s="71">
        <f t="shared" si="15"/>
        <v>-2.3286482659857093</v>
      </c>
      <c r="AE73" s="72">
        <f t="shared" si="15"/>
        <v>-2.0010312242233681</v>
      </c>
      <c r="AF73" s="73">
        <f>MIN(H73:AE73)</f>
        <v>-3.9350410641957154</v>
      </c>
      <c r="AG73" s="3"/>
    </row>
    <row r="74" spans="2:33" ht="16.5" x14ac:dyDescent="0.3">
      <c r="E74" s="11"/>
      <c r="H74" s="74"/>
      <c r="I74" s="75"/>
      <c r="J74" s="75"/>
      <c r="K74" s="75"/>
      <c r="L74" s="75"/>
      <c r="M74" s="75"/>
      <c r="N74" s="75"/>
      <c r="O74" s="75"/>
      <c r="P74" s="75"/>
      <c r="Q74" s="75"/>
      <c r="R74" s="75"/>
      <c r="S74" s="75"/>
      <c r="T74" s="75"/>
      <c r="U74" s="75"/>
      <c r="V74" s="75"/>
      <c r="W74" s="75"/>
      <c r="X74" s="75"/>
      <c r="Y74" s="75"/>
      <c r="Z74" s="75"/>
      <c r="AA74" s="75"/>
      <c r="AB74" s="75"/>
      <c r="AC74" s="75"/>
      <c r="AD74" s="75"/>
      <c r="AE74" s="76"/>
      <c r="AF74" s="26"/>
    </row>
    <row r="75" spans="2:33" ht="16.5" x14ac:dyDescent="0.3">
      <c r="D75" s="2" t="s">
        <v>65</v>
      </c>
      <c r="E75" s="11"/>
      <c r="H75" s="74"/>
      <c r="I75" s="75"/>
      <c r="J75" s="75"/>
      <c r="K75" s="75"/>
      <c r="L75" s="75"/>
      <c r="M75" s="75"/>
      <c r="N75" s="75"/>
      <c r="O75" s="75"/>
      <c r="P75" s="75"/>
      <c r="Q75" s="75"/>
      <c r="R75" s="75"/>
      <c r="S75" s="75"/>
      <c r="T75" s="75"/>
      <c r="U75" s="75"/>
      <c r="V75" s="75"/>
      <c r="W75" s="75"/>
      <c r="X75" s="75"/>
      <c r="Y75" s="75"/>
      <c r="Z75" s="75"/>
      <c r="AA75" s="75"/>
      <c r="AB75" s="75"/>
      <c r="AC75" s="75"/>
      <c r="AD75" s="75"/>
      <c r="AE75" s="76"/>
      <c r="AF75" s="26"/>
    </row>
    <row r="76" spans="2:33" ht="16.5" x14ac:dyDescent="0.3">
      <c r="E76" s="3" t="s">
        <v>60</v>
      </c>
      <c r="G76" s="30" t="s">
        <v>61</v>
      </c>
      <c r="H76" s="31">
        <f t="shared" ref="H76:AE76" si="16">(H56*$F$29)/1000</f>
        <v>2.2155904073704489E-3</v>
      </c>
      <c r="I76" s="32">
        <f t="shared" si="16"/>
        <v>-4.191339547818327E-2</v>
      </c>
      <c r="J76" s="32">
        <f t="shared" si="16"/>
        <v>-6.5616134147667704E-2</v>
      </c>
      <c r="K76" s="32">
        <f t="shared" si="16"/>
        <v>-0.11826628895805555</v>
      </c>
      <c r="L76" s="32">
        <f t="shared" si="16"/>
        <v>-0.18002591940899179</v>
      </c>
      <c r="M76" s="32">
        <f t="shared" si="16"/>
        <v>-0.20731829145286962</v>
      </c>
      <c r="N76" s="32">
        <f t="shared" si="16"/>
        <v>-0.2210114641092826</v>
      </c>
      <c r="O76" s="32">
        <f t="shared" si="16"/>
        <v>-0.19514402171258186</v>
      </c>
      <c r="P76" s="32">
        <f t="shared" si="16"/>
        <v>-0.11469159920715918</v>
      </c>
      <c r="Q76" s="32">
        <f t="shared" si="16"/>
        <v>-6.9940483255564262E-2</v>
      </c>
      <c r="R76" s="32">
        <f t="shared" si="16"/>
        <v>1.2557187952373993E-2</v>
      </c>
      <c r="S76" s="32">
        <f t="shared" si="16"/>
        <v>0.11840108678727353</v>
      </c>
      <c r="T76" s="32">
        <f t="shared" si="16"/>
        <v>0.24179228628303645</v>
      </c>
      <c r="U76" s="32">
        <f t="shared" si="16"/>
        <v>0.33316774236196472</v>
      </c>
      <c r="V76" s="32">
        <f t="shared" si="16"/>
        <v>0.40648980816387681</v>
      </c>
      <c r="W76" s="32">
        <f t="shared" si="16"/>
        <v>0.48393121151267232</v>
      </c>
      <c r="X76" s="32">
        <f t="shared" si="16"/>
        <v>0.54833293392061488</v>
      </c>
      <c r="Y76" s="32">
        <f t="shared" si="16"/>
        <v>0.59966910537479967</v>
      </c>
      <c r="Z76" s="32">
        <f t="shared" si="16"/>
        <v>0.58991753558139115</v>
      </c>
      <c r="AA76" s="32">
        <f t="shared" si="16"/>
        <v>0.54045187839721454</v>
      </c>
      <c r="AB76" s="32">
        <f t="shared" si="16"/>
        <v>0.45369533951818064</v>
      </c>
      <c r="AC76" s="32">
        <f t="shared" si="16"/>
        <v>0.28639536287560957</v>
      </c>
      <c r="AD76" s="32">
        <f t="shared" si="16"/>
        <v>0.13908476146805013</v>
      </c>
      <c r="AE76" s="33">
        <f t="shared" si="16"/>
        <v>5.0478545590079534E-2</v>
      </c>
      <c r="AF76" s="34">
        <f>MAX(H76:AE76)</f>
        <v>0.59966910537479967</v>
      </c>
      <c r="AG76" s="14" t="str">
        <f>IF(AF76&gt;$F$33," Maximum flow rate exceeded",IF(AF76&gt;0.8*$F$33," The maximum flow may be unachievable"," OK"))</f>
        <v xml:space="preserve"> OK</v>
      </c>
    </row>
    <row r="77" spans="2:33" ht="16.5" x14ac:dyDescent="0.3">
      <c r="E77" s="3" t="s">
        <v>62</v>
      </c>
      <c r="G77" s="37" t="s">
        <v>37</v>
      </c>
      <c r="H77" s="58">
        <f t="shared" ref="H77:AE77" si="17">(IF((1-$H$29)&lt;0,0,((1-$H$29)*H40))+IF(($H$29)&gt;1,1*H61,($H$29*H61)))</f>
        <v>23.259806557834089</v>
      </c>
      <c r="I77" s="59">
        <f t="shared" si="17"/>
        <v>22.507550291018397</v>
      </c>
      <c r="J77" s="59">
        <f t="shared" si="17"/>
        <v>21.68014270293753</v>
      </c>
      <c r="K77" s="59">
        <f t="shared" si="17"/>
        <v>20.966743565047885</v>
      </c>
      <c r="L77" s="59">
        <f t="shared" si="17"/>
        <v>20.296856891602953</v>
      </c>
      <c r="M77" s="59">
        <f t="shared" si="17"/>
        <v>19.49721661815596</v>
      </c>
      <c r="N77" s="59">
        <f t="shared" si="17"/>
        <v>19.553738365830416</v>
      </c>
      <c r="O77" s="59">
        <f t="shared" si="17"/>
        <v>21.266633954709313</v>
      </c>
      <c r="P77" s="59">
        <f t="shared" si="17"/>
        <v>21.867527503976927</v>
      </c>
      <c r="Q77" s="59">
        <f t="shared" si="17"/>
        <v>23.527593472947274</v>
      </c>
      <c r="R77" s="59">
        <f t="shared" si="17"/>
        <v>24.138932915537154</v>
      </c>
      <c r="S77" s="59">
        <f t="shared" si="17"/>
        <v>25.583945999106941</v>
      </c>
      <c r="T77" s="59">
        <f t="shared" si="17"/>
        <v>26.959907706418619</v>
      </c>
      <c r="U77" s="59">
        <f t="shared" si="17"/>
        <v>27.526150860502543</v>
      </c>
      <c r="V77" s="59">
        <f t="shared" si="17"/>
        <v>28.153717407250213</v>
      </c>
      <c r="W77" s="59">
        <f t="shared" si="17"/>
        <v>28.753815999040725</v>
      </c>
      <c r="X77" s="59">
        <f t="shared" si="17"/>
        <v>30.329762599044628</v>
      </c>
      <c r="Y77" s="59">
        <f t="shared" si="17"/>
        <v>30.09743840370642</v>
      </c>
      <c r="Z77" s="59">
        <f t="shared" si="17"/>
        <v>29.208501020743459</v>
      </c>
      <c r="AA77" s="59">
        <f t="shared" si="17"/>
        <v>29.435078208710088</v>
      </c>
      <c r="AB77" s="59">
        <f t="shared" si="17"/>
        <v>27.955182390976773</v>
      </c>
      <c r="AC77" s="59">
        <f t="shared" si="17"/>
        <v>26.787487509567285</v>
      </c>
      <c r="AD77" s="59">
        <f t="shared" si="17"/>
        <v>25.507027601021434</v>
      </c>
      <c r="AE77" s="60">
        <f t="shared" si="17"/>
        <v>23.998453163664944</v>
      </c>
      <c r="AF77" s="61">
        <f>MAX(H77:AE77)</f>
        <v>30.329762599044628</v>
      </c>
    </row>
    <row r="78" spans="2:33" s="22" customFormat="1" ht="16.5" x14ac:dyDescent="0.3">
      <c r="B78" s="6"/>
      <c r="C78" s="2"/>
      <c r="D78" s="2"/>
      <c r="E78" s="67" t="s">
        <v>63</v>
      </c>
      <c r="F78" s="68"/>
      <c r="G78" s="69" t="s">
        <v>37</v>
      </c>
      <c r="H78" s="70">
        <f t="shared" ref="H78:AE78" si="18">-(H40-H77)</f>
        <v>-2.7401934421659107</v>
      </c>
      <c r="I78" s="71">
        <f t="shared" si="18"/>
        <v>-2.4924497089816029</v>
      </c>
      <c r="J78" s="71">
        <f t="shared" si="18"/>
        <v>-2.3198572970624696</v>
      </c>
      <c r="K78" s="71">
        <f t="shared" si="18"/>
        <v>-2.0332564349521149</v>
      </c>
      <c r="L78" s="71">
        <f t="shared" si="18"/>
        <v>-1.7031431083970467</v>
      </c>
      <c r="M78" s="71">
        <f t="shared" si="18"/>
        <v>-1.5027833818440399</v>
      </c>
      <c r="N78" s="71">
        <f t="shared" si="18"/>
        <v>-1.4462616341695842</v>
      </c>
      <c r="O78" s="71">
        <f t="shared" si="18"/>
        <v>-1.7333660452906869</v>
      </c>
      <c r="P78" s="71">
        <f t="shared" si="18"/>
        <v>-2.1324724960230732</v>
      </c>
      <c r="Q78" s="71">
        <f t="shared" si="18"/>
        <v>-2.4724065270527262</v>
      </c>
      <c r="R78" s="71">
        <f t="shared" si="18"/>
        <v>-2.8610670844628459</v>
      </c>
      <c r="S78" s="71">
        <f t="shared" si="18"/>
        <v>-3.4160540008930589</v>
      </c>
      <c r="T78" s="71">
        <f t="shared" si="18"/>
        <v>-4.040092293581381</v>
      </c>
      <c r="U78" s="71">
        <f t="shared" si="18"/>
        <v>-4.4738491394974567</v>
      </c>
      <c r="V78" s="71">
        <f t="shared" si="18"/>
        <v>-4.8462825927497875</v>
      </c>
      <c r="W78" s="71">
        <f t="shared" si="18"/>
        <v>-5.2461840009592748</v>
      </c>
      <c r="X78" s="71">
        <f t="shared" si="18"/>
        <v>-5.6702374009553722</v>
      </c>
      <c r="Y78" s="71">
        <f t="shared" si="18"/>
        <v>-5.9025615962935802</v>
      </c>
      <c r="Z78" s="71">
        <f t="shared" si="18"/>
        <v>-5.7914989792565414</v>
      </c>
      <c r="AA78" s="71">
        <f t="shared" si="18"/>
        <v>-5.5649217912899118</v>
      </c>
      <c r="AB78" s="71">
        <f t="shared" si="18"/>
        <v>-5.0448176090232266</v>
      </c>
      <c r="AC78" s="71">
        <f t="shared" si="18"/>
        <v>-4.2125124904327151</v>
      </c>
      <c r="AD78" s="71">
        <f t="shared" si="18"/>
        <v>-3.4929723989785657</v>
      </c>
      <c r="AE78" s="72">
        <f t="shared" si="18"/>
        <v>-3.0015468363350557</v>
      </c>
      <c r="AF78" s="73">
        <f>MIN(H78:AE78)</f>
        <v>-5.9025615962935802</v>
      </c>
      <c r="AG78" s="3"/>
    </row>
    <row r="80" spans="2:33" x14ac:dyDescent="0.25">
      <c r="D80" s="2" t="s">
        <v>66</v>
      </c>
    </row>
    <row r="81" spans="5:32" x14ac:dyDescent="0.25">
      <c r="E81" s="22" t="s">
        <v>67</v>
      </c>
    </row>
    <row r="82" spans="5:32" x14ac:dyDescent="0.25">
      <c r="E82" s="22" t="s">
        <v>68</v>
      </c>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8" spans="5:32" x14ac:dyDescent="0.25">
      <c r="H88" s="77"/>
    </row>
    <row r="89" spans="5:32" x14ac:dyDescent="0.25">
      <c r="H89" s="78"/>
      <c r="I89" s="78"/>
      <c r="J89" s="78"/>
      <c r="K89" s="78"/>
      <c r="L89" s="78"/>
      <c r="M89" s="78"/>
      <c r="N89" s="78"/>
      <c r="O89" s="78"/>
      <c r="P89" s="78"/>
      <c r="Q89" s="78"/>
      <c r="R89" s="78"/>
      <c r="S89" s="78"/>
    </row>
    <row r="91" spans="5:32" x14ac:dyDescent="0.25">
      <c r="H91" s="78"/>
      <c r="I91" s="78"/>
      <c r="J91" s="78"/>
      <c r="K91" s="78"/>
      <c r="L91" s="78"/>
      <c r="M91" s="78"/>
      <c r="N91" s="78"/>
      <c r="O91" s="78"/>
      <c r="P91" s="78"/>
      <c r="Q91" s="78"/>
      <c r="R91" s="78"/>
      <c r="S91" s="78"/>
    </row>
    <row r="92" spans="5:32" x14ac:dyDescent="0.25">
      <c r="E92" s="79"/>
      <c r="F92" s="79"/>
      <c r="G92" s="80"/>
    </row>
    <row r="93" spans="5:32" x14ac:dyDescent="0.25">
      <c r="E93" s="79"/>
      <c r="F93" s="79"/>
      <c r="G93" s="80"/>
    </row>
    <row r="94" spans="5:32" x14ac:dyDescent="0.25">
      <c r="E94" s="79"/>
      <c r="F94" s="79"/>
      <c r="G94" s="80"/>
    </row>
    <row r="95" spans="5:32" x14ac:dyDescent="0.25">
      <c r="E95" s="79"/>
      <c r="F95" s="79"/>
      <c r="G95" s="80"/>
    </row>
    <row r="96" spans="5:32" x14ac:dyDescent="0.25">
      <c r="E96" s="79"/>
      <c r="F96" s="79"/>
      <c r="G96" s="80"/>
    </row>
  </sheetData>
  <mergeCells count="3">
    <mergeCell ref="H38:AE38"/>
    <mergeCell ref="AG38:AG39"/>
    <mergeCell ref="F39:G39"/>
  </mergeCells>
  <pageMargins left="0.7" right="0.7" top="0.75" bottom="0.75" header="0.3" footer="0.3"/>
  <pageSetup paperSize="9" orientation="portrait" r:id="rId1"/>
  <ignoredErrors>
    <ignoredError sqref="B47" numberStoredAsText="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2025-07-20T18:31:28Z</dcterms:created>
  <dcterms:modified xsi:type="dcterms:W3CDTF">2025-07-20T18:37:22Z</dcterms:modified>
</cp:coreProperties>
</file>